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K2kUtrjGZ2aNP00CkHXSICLjkJ2J3hSY9isVY0sdrl20z8C46q7WussEv0VHLUjLf+Thlx4LBKmAyyYUGuFsjQ==" workbookSaltValue="YCpUOaa2VXbPqhZJtOJN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AR23" i="11" s="1"/>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E18" i="3" s="1"/>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A11" i="2"/>
  <c r="B11" i="2"/>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BE21" i="13"/>
  <c r="AR14" i="21"/>
  <c r="BJ14" i="16"/>
  <c r="AT26" i="20"/>
  <c r="AI14" i="20"/>
  <c r="BF13" i="8"/>
  <c r="R14" i="12"/>
  <c r="AH31" i="8"/>
  <c r="BA26" i="13"/>
  <c r="AT30" i="20"/>
  <c r="P31" i="19"/>
  <c r="R13" i="17"/>
  <c r="BE11" i="13"/>
  <c r="BD21" i="8"/>
  <c r="H21" i="7" s="1"/>
  <c r="BG18" i="8"/>
  <c r="K18" i="7" s="1"/>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D16" i="6"/>
  <c r="Y22" i="11"/>
  <c r="L30" i="11"/>
  <c r="AC25" i="11"/>
  <c r="AG26" i="17"/>
  <c r="EL31" i="8"/>
  <c r="O14" i="21"/>
  <c r="BD12" i="21"/>
  <c r="BD14" i="21" s="1"/>
  <c r="BD31" i="21" s="1"/>
  <c r="K14" i="11"/>
  <c r="AC11" i="11"/>
  <c r="EQ31" i="8"/>
  <c r="AA30" i="11"/>
  <c r="M26" i="11"/>
  <c r="I13" i="3"/>
  <c r="E11" i="12"/>
  <c r="AP12" i="11"/>
  <c r="J30" i="11"/>
  <c r="AC28" i="11"/>
  <c r="E9" i="12"/>
  <c r="EN31" i="8"/>
  <c r="F12" i="21"/>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G13" i="3"/>
  <c r="E10" i="3"/>
  <c r="E22" i="6"/>
  <c r="M30" i="11"/>
  <c r="G16" i="3"/>
  <c r="AN9" i="11"/>
  <c r="D9" i="6"/>
  <c r="I20" i="3"/>
  <c r="I16" i="3"/>
  <c r="AI14" i="11"/>
  <c r="G12" i="12"/>
  <c r="D12" i="12"/>
  <c r="C16" i="14"/>
  <c r="K16" i="14" s="1"/>
  <c r="S14" i="11"/>
  <c r="AV14" i="11"/>
  <c r="AW33" i="11"/>
  <c r="R14" i="11"/>
  <c r="R23" i="11"/>
  <c r="R30" i="11"/>
  <c r="Y11" i="11"/>
  <c r="C12" i="14"/>
  <c r="K12" i="14" s="1"/>
  <c r="AC19" i="11"/>
  <c r="BB26" i="16"/>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25" i="2"/>
  <c r="F17" i="10"/>
  <c r="L9" i="14"/>
  <c r="J9" i="2"/>
  <c r="BI16" i="16"/>
  <c r="AN16" i="11"/>
  <c r="B16" i="6"/>
  <c r="Y12" i="11"/>
  <c r="E14" i="21"/>
  <c r="T10" i="21"/>
  <c r="AL14" i="21"/>
  <c r="E23" i="2"/>
  <c r="AO16" i="11"/>
  <c r="H30" i="3"/>
  <c r="BI18" i="16"/>
  <c r="G17" i="3"/>
  <c r="B25" i="6"/>
  <c r="AO17" i="11"/>
  <c r="D17" i="2"/>
  <c r="E16" i="6"/>
  <c r="I16" i="7"/>
  <c r="C16" i="6"/>
  <c r="I16" i="12" s="1"/>
  <c r="Y25" i="11"/>
  <c r="W26" i="11"/>
  <c r="B29" i="6"/>
  <c r="K29" i="7"/>
  <c r="F10" i="10"/>
  <c r="E28" i="3"/>
  <c r="D26" i="14"/>
  <c r="D11" i="2"/>
  <c r="B19" i="6"/>
  <c r="AO10" i="11"/>
  <c r="B10" i="6"/>
  <c r="AL28" i="11"/>
  <c r="AL13" i="11"/>
  <c r="E13" i="6"/>
  <c r="I10" i="7"/>
  <c r="H10" i="2"/>
  <c r="C13" i="6"/>
  <c r="AO19" i="11"/>
  <c r="D19" i="6"/>
  <c r="J19" i="12" s="1"/>
  <c r="J19" i="7"/>
  <c r="H19" i="2"/>
  <c r="AN19" i="11"/>
  <c r="C19" i="6"/>
  <c r="I19" i="12" s="1"/>
  <c r="Y9" i="11"/>
  <c r="W14" i="11"/>
  <c r="F9" i="12"/>
  <c r="F12" i="2"/>
  <c r="AN10" i="11"/>
  <c r="J22" i="2"/>
  <c r="AL29" i="11"/>
  <c r="C25" i="6"/>
  <c r="F10" i="2"/>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X12" i="21" s="1"/>
  <c r="BM31" i="8"/>
  <c r="BD21" i="13"/>
  <c r="Y31" i="8"/>
  <c r="AK31" i="8"/>
  <c r="CI31" i="8"/>
  <c r="R31" i="8"/>
  <c r="Z31" i="8"/>
  <c r="BK31" i="8"/>
  <c r="F16" i="11"/>
  <c r="AQ16" i="11" s="1"/>
  <c r="AA31" i="8"/>
  <c r="AE31" i="8"/>
  <c r="AI31" i="8"/>
  <c r="F18" i="16"/>
  <c r="BL18" i="16" s="1"/>
  <c r="EP31" i="8"/>
  <c r="AX23" i="11"/>
  <c r="AX26" i="11" s="1"/>
  <c r="ER31" i="13"/>
  <c r="AL14" i="16"/>
  <c r="AJ14" i="16"/>
  <c r="AJ31" i="16" s="1"/>
  <c r="EP31" i="19"/>
  <c r="T9" i="11"/>
  <c r="BH9" i="16"/>
  <c r="BK19" i="11"/>
  <c r="V16" i="11"/>
  <c r="BI22" i="11"/>
  <c r="BE13" i="11"/>
  <c r="BI18" i="11"/>
  <c r="BH18" i="16"/>
  <c r="BF25" i="11"/>
  <c r="BG16" i="11"/>
  <c r="BF10" i="11"/>
  <c r="BE19" i="11"/>
  <c r="BH16" i="16"/>
  <c r="BH19" i="16"/>
  <c r="BL17" i="11"/>
  <c r="BI19" i="11"/>
  <c r="Q18" i="20"/>
  <c r="Q23" i="20" s="1"/>
  <c r="P18" i="17"/>
  <c r="V11" i="16"/>
  <c r="AP30" i="21"/>
  <c r="AO30" i="17"/>
  <c r="BK18" i="11"/>
  <c r="BE28" i="11"/>
  <c r="BL29" i="11"/>
  <c r="BE21" i="11"/>
  <c r="AO9" i="17"/>
  <c r="BH28" i="11"/>
  <c r="BE18" i="11"/>
  <c r="BE29" i="11"/>
  <c r="V25" i="11"/>
  <c r="BJ12" i="11"/>
  <c r="AM22" i="11"/>
  <c r="AO13" i="17"/>
  <c r="BF20" i="11"/>
  <c r="BG19" i="11"/>
  <c r="BE17" i="11"/>
  <c r="BE25" i="11"/>
  <c r="BF22" i="11"/>
  <c r="BJ19" i="11"/>
  <c r="AP30" i="20"/>
  <c r="AO16" i="17"/>
  <c r="AM13" i="11"/>
  <c r="BE10" i="11"/>
  <c r="S18" i="16"/>
  <c r="BJ29" i="11"/>
  <c r="BJ9" i="11"/>
  <c r="AM21" i="11"/>
  <c r="AM17" i="11"/>
  <c r="BK12" i="11"/>
  <c r="AO21" i="17"/>
  <c r="X17" i="17"/>
  <c r="AY29" i="11"/>
  <c r="AQ26" i="21"/>
  <c r="R12" i="14"/>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X11" i="17"/>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F26" i="2" s="1"/>
  <c r="AL9" i="11"/>
  <c r="AO18" i="11"/>
  <c r="AL18" i="11"/>
  <c r="C23" i="2"/>
  <c r="D23" i="2" s="1"/>
  <c r="K26" i="2"/>
  <c r="AN11" i="11"/>
  <c r="H18" i="7"/>
  <c r="K23" i="2"/>
  <c r="AM11" i="11"/>
  <c r="C11" i="6"/>
  <c r="I11" i="12" s="1"/>
  <c r="AN18" i="11"/>
  <c r="J21" i="2"/>
  <c r="J11" i="7"/>
  <c r="F9" i="2"/>
  <c r="B11" i="6"/>
  <c r="N26" i="2"/>
  <c r="L11" i="14"/>
  <c r="H18" i="2"/>
  <c r="H16" i="2"/>
  <c r="M14" i="2"/>
  <c r="M23" i="2"/>
  <c r="N14" i="2"/>
  <c r="AO18" i="17"/>
  <c r="C18" i="6"/>
  <c r="AL11" i="11"/>
  <c r="L18" i="14"/>
  <c r="B18" i="6"/>
  <c r="J29" i="2"/>
  <c r="AO11" i="11"/>
  <c r="I11" i="7"/>
  <c r="D18" i="2"/>
  <c r="AO9" i="11"/>
  <c r="L20" i="14"/>
  <c r="G26" i="2"/>
  <c r="D18" i="6"/>
  <c r="J18" i="12" s="1"/>
  <c r="AO12" i="11"/>
  <c r="N23" i="2"/>
  <c r="K30" i="2"/>
  <c r="J20" i="2"/>
  <c r="H12" i="2"/>
  <c r="G14" i="2"/>
  <c r="F16" i="2"/>
  <c r="C30" i="2"/>
  <c r="D30" i="2" s="1"/>
  <c r="L12" i="14"/>
  <c r="H29" i="2"/>
  <c r="H20" i="2"/>
  <c r="AM20" i="11"/>
  <c r="E20" i="6"/>
  <c r="B20" i="6"/>
  <c r="I14" i="2"/>
  <c r="J14" i="2" s="1"/>
  <c r="AN12" i="11"/>
  <c r="F20" i="2"/>
  <c r="AL12" i="11"/>
  <c r="I12" i="7"/>
  <c r="E14" i="2"/>
  <c r="F14" i="2" s="1"/>
  <c r="F29" i="2"/>
  <c r="C20" i="6"/>
  <c r="F13" i="2"/>
  <c r="J13" i="2"/>
  <c r="AM12" i="11"/>
  <c r="J20" i="7"/>
  <c r="C14" i="2"/>
  <c r="D14" i="2" s="1"/>
  <c r="D12" i="6"/>
  <c r="C12" i="6"/>
  <c r="I12" i="12" s="1"/>
  <c r="B12" i="6"/>
  <c r="E12" i="6"/>
  <c r="E28" i="6"/>
  <c r="D20" i="6"/>
  <c r="J20" i="12" s="1"/>
  <c r="AO12" i="17"/>
  <c r="G23" i="2"/>
  <c r="E11" i="6"/>
  <c r="AO28" i="11"/>
  <c r="I23" i="2"/>
  <c r="J23" i="2" s="1"/>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P25" i="11" s="1"/>
  <c r="BK21" i="11"/>
  <c r="BG18" i="11"/>
  <c r="V22" i="11"/>
  <c r="BF19" i="11"/>
  <c r="BJ18" i="11"/>
  <c r="BL16" i="11"/>
  <c r="T20" i="11"/>
  <c r="AY21" i="11"/>
  <c r="AY9" i="11"/>
  <c r="AY14"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F14" i="12"/>
  <c r="F30" i="3"/>
  <c r="G30" i="3" s="1"/>
  <c r="S31" i="8"/>
  <c r="J28" i="7"/>
  <c r="BE25" i="8"/>
  <c r="BD25" i="8"/>
  <c r="H25" i="7" s="1"/>
  <c r="BG25" i="8"/>
  <c r="K25" i="7" s="1"/>
  <c r="BA26" i="8"/>
  <c r="BF25" i="8"/>
  <c r="J25" i="7" s="1"/>
  <c r="AY23" i="8"/>
  <c r="BB26" i="13"/>
  <c r="BE26" i="13" s="1"/>
  <c r="S13" i="17"/>
  <c r="K26" i="11"/>
  <c r="K30" i="11" s="1"/>
  <c r="BB31" i="19"/>
  <c r="BF16" i="8"/>
  <c r="J16" i="7" s="1"/>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F31" i="7"/>
  <c r="H31" i="12"/>
  <c r="AL14" i="11"/>
  <c r="B14" i="6"/>
  <c r="Z23" i="16"/>
  <c r="AA23" i="16" s="1"/>
  <c r="BF14" i="16"/>
  <c r="BL19" i="16"/>
  <c r="AP14" i="16"/>
  <c r="AL31" i="16"/>
  <c r="BK14" i="16"/>
  <c r="O23" i="16"/>
  <c r="O26" i="16" s="1"/>
  <c r="R26" i="16"/>
  <c r="AA9" i="16"/>
  <c r="AB14" i="16"/>
  <c r="G14" i="16"/>
  <c r="BD14" i="16"/>
  <c r="AB26" i="16"/>
  <c r="BE14" i="16"/>
  <c r="F16" i="16"/>
  <c r="V25" i="16"/>
  <c r="V9" i="16"/>
  <c r="BL28" i="16"/>
  <c r="BL16" i="16"/>
  <c r="K14" i="2"/>
  <c r="H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I32" i="20"/>
  <c r="Q32" i="20"/>
  <c r="G14" i="14"/>
  <c r="AX32" i="20"/>
  <c r="F19" i="2" l="1"/>
  <c r="Y18" i="11"/>
  <c r="X23" i="11"/>
  <c r="AV23" i="21"/>
  <c r="AL23" i="11"/>
  <c r="J12" i="12"/>
  <c r="AL25" i="11"/>
  <c r="F23" i="2"/>
  <c r="H11" i="2"/>
  <c r="BF23" i="13"/>
  <c r="BJ13" i="11"/>
  <c r="BK9" i="11"/>
  <c r="S20" i="14"/>
  <c r="V20" i="14" s="1"/>
  <c r="BH21" i="16"/>
  <c r="BH11" i="16"/>
  <c r="BE11" i="11"/>
  <c r="AP17" i="20"/>
  <c r="T18"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K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O18" i="11"/>
  <c r="AW32" i="20"/>
  <c r="AH33" i="17" l="1"/>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BE14" i="8" s="1"/>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BF14" i="8" s="1"/>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K21" i="7"/>
  <c r="K21" i="12"/>
  <c r="O31" i="16"/>
  <c r="U14" i="17"/>
  <c r="G31" i="20"/>
  <c r="E31" i="2"/>
  <c r="AI31" i="11"/>
  <c r="BT14" i="16"/>
  <c r="BI23" i="16"/>
  <c r="D31" i="12"/>
  <c r="G33" i="20"/>
  <c r="I18" i="12"/>
  <c r="L30" i="20"/>
  <c r="I21" i="12"/>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E31" i="14" l="1"/>
  <c r="D31" i="14"/>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BK32" i="16"/>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AH32" i="21"/>
  <c r="AV33" i="11" l="1"/>
  <c r="BQ31" i="16"/>
  <c r="AT32" i="21"/>
  <c r="BL32" i="16"/>
  <c r="AQ32" i="11"/>
  <c r="AQ32" i="17"/>
  <c r="AP32"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AS30" i="11"/>
  <c r="BG30" i="8"/>
  <c r="K30" i="7" s="1"/>
  <c r="B31" i="6"/>
  <c r="AL31" i="11"/>
  <c r="AO31" i="11"/>
  <c r="BC31" i="8"/>
  <c r="K9" i="14"/>
  <c r="C23" i="14"/>
  <c r="K19" i="14"/>
  <c r="Y31" i="14"/>
  <c r="AB31" i="14"/>
  <c r="R31" i="14"/>
  <c r="AC31" i="14"/>
  <c r="V31" i="14"/>
  <c r="X31" i="14"/>
  <c r="S31" i="14"/>
  <c r="M31" i="14"/>
  <c r="Z31" i="14"/>
  <c r="W31" i="14"/>
  <c r="AD31" i="14"/>
  <c r="V23" i="11"/>
  <c r="U26" i="11"/>
  <c r="AA31" i="14"/>
  <c r="H31" i="14"/>
  <c r="U32" i="11"/>
  <c r="F31" i="2" l="1"/>
  <c r="S31" i="17"/>
  <c r="V31" i="16"/>
  <c r="BF31" i="11"/>
  <c r="BT31" i="16"/>
  <c r="BT33" i="16"/>
  <c r="BG31" i="8"/>
  <c r="K31" i="7" s="1"/>
  <c r="AS33" i="20"/>
  <c r="AR33" i="20" s="1"/>
  <c r="F31" i="17"/>
  <c r="AQ31" i="17" s="1"/>
  <c r="BD31" i="8"/>
  <c r="H31" i="2"/>
  <c r="I31" i="3"/>
  <c r="C31" i="14"/>
  <c r="J30" i="12"/>
  <c r="X26" i="17"/>
  <c r="W30" i="17"/>
  <c r="BF31" i="8"/>
  <c r="Z31" i="21"/>
  <c r="H31" i="7"/>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K31" i="12"/>
  <c r="I30" i="12"/>
  <c r="I33" i="12" s="1"/>
  <c r="S31" i="11"/>
  <c r="T31" i="11" s="1"/>
  <c r="K23" i="7"/>
  <c r="K23" i="12"/>
  <c r="E33" i="16"/>
  <c r="V26" i="11"/>
  <c r="U30" i="11"/>
  <c r="W33" i="20" l="1"/>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<sst xmlns="http://schemas.openxmlformats.org/spreadsheetml/2006/main" count="2628" uniqueCount="1158">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</sst>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43" t="s">
        <v>140</v>
      </c>
      <c r="B3" s="1544"/>
      <c r="C3" s="1544"/>
      <c r="D3" s="1545"/>
      <c r="E3" s="413"/>
      <c r="F3" s="2"/>
      <c r="Q3" s="392">
        <v>1</v>
      </c>
      <c r="R3" s="392">
        <v>3</v>
      </c>
      <c r="S3" t="b">
        <f>AND(Q3&gt;=TrimIni,Q3&lt;=TrimFin)</f>
        <v>1</v>
      </c>
    </row>
    <row r="4" spans="1:19" ht="22.5" customHeight="1" thickBot="1">
      <c r="A4" s="414" t="s">
        <v>1151</v>
      </c>
      <c r="B4" s="413"/>
      <c r="C4" s="413"/>
      <c r="D4" s="413"/>
      <c r="E4" s="413"/>
      <c r="F4" s="2"/>
      <c r="Q4" s="392">
        <v>2</v>
      </c>
      <c r="R4" s="392">
        <v>3</v>
      </c>
      <c r="S4" t="b">
        <f>AND(Q4&gt;=TrimIni,Q4&lt;=TrimFin)</f>
        <v>1</v>
      </c>
    </row>
    <row r="5" spans="1:19" ht="15.75" thickBot="1">
      <c r="A5" s="415" t="s">
        <v>52</v>
      </c>
      <c r="B5" s="416">
        <v>2021</v>
      </c>
      <c r="C5" s="417" t="s">
        <v>273</v>
      </c>
      <c r="D5" s="418">
        <v>1</v>
      </c>
      <c r="E5" s="419"/>
      <c r="F5" s="3"/>
      <c r="H5" t="s">
        <v>540</v>
      </c>
      <c r="Q5" s="392">
        <v>3</v>
      </c>
      <c r="R5" s="392">
        <v>2</v>
      </c>
      <c r="S5" t="b">
        <f>AND(Q5&gt;=TrimIni,Q5&lt;=TrimFin)</f>
        <v>1</v>
      </c>
    </row>
    <row r="6" spans="1:19" ht="15">
      <c r="A6" s="420"/>
      <c r="B6" s="419"/>
      <c r="C6" s="417" t="s">
        <v>274</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1152</v>
      </c>
      <c r="B9" s="422" t="s">
        <v>1153</v>
      </c>
      <c r="C9" s="419"/>
      <c r="D9" s="419"/>
      <c r="E9" s="428"/>
      <c r="F9" s="3"/>
    </row>
    <row r="10" spans="1:19">
      <c r="A10" s="427" t="s">
        <v>1154</v>
      </c>
      <c r="B10" s="419" t="s">
        <v>1155</v>
      </c>
      <c r="C10" s="419"/>
      <c r="D10" s="419"/>
      <c r="E10" s="428"/>
      <c r="F10" s="3"/>
      <c r="Q10" s="392">
        <v>0</v>
      </c>
    </row>
    <row r="11" spans="1:19" ht="13.5" thickBot="1">
      <c r="A11" s="429" t="s">
        <v>1156</v>
      </c>
      <c r="B11" s="430" t="s">
        <v>1157</v>
      </c>
      <c r="C11" s="430"/>
      <c r="D11" s="430"/>
      <c r="E11" s="431"/>
      <c r="F11" s="3"/>
    </row>
    <row r="12" spans="1:19" ht="40.5" customHeight="1" thickBot="1">
      <c r="A12" s="421"/>
      <c r="B12" s="419"/>
      <c r="C12" s="419"/>
      <c r="D12" s="419"/>
      <c r="E12" s="419"/>
      <c r="F12" s="3"/>
      <c r="Q12" s="1474"/>
    </row>
    <row r="13" spans="1:19" ht="15">
      <c r="A13" s="432" t="s">
        <v>165</v>
      </c>
      <c r="B13" s="433" t="s">
        <v>84</v>
      </c>
      <c r="C13" s="1082" t="s">
        <v>936</v>
      </c>
      <c r="D13" s="419" t="s">
        <v>84</v>
      </c>
      <c r="E13" s="419"/>
      <c r="F13" s="3"/>
    </row>
    <row r="14" spans="1:19" ht="15">
      <c r="A14" s="434" t="s">
        <v>121</v>
      </c>
      <c r="B14" s="435" t="s">
        <v>168</v>
      </c>
      <c r="C14" s="419"/>
      <c r="D14" s="419"/>
      <c r="E14" s="419"/>
      <c r="F14" s="3"/>
    </row>
    <row r="15" spans="1:19" ht="13.5" thickBot="1">
      <c r="A15" s="285"/>
      <c r="B15" s="4"/>
      <c r="C15" s="4"/>
      <c r="D15" s="4"/>
      <c r="E15" s="4"/>
      <c r="F15" s="5"/>
    </row>
    <row r="16" spans="1:19" ht="23.25">
      <c r="A16" s="71"/>
    </row>
  </sheetData>
  <sheetProtection algorithmName="SHA-512" hashValue="R0UwZipu31oN302cj928BGryhVww4zZgCCCEY6QnJaKzlcIzm2AkyIP9kDUzSNnkyn2VNaP355XBeCkyw8YWJA==" saltValue="+X0zDE9VVtoxPU2Ojb/g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464</v>
      </c>
      <c r="E3" s="584"/>
    </row>
    <row r="4" spans="1:31" s="537" customFormat="1" ht="15.75" thickBot="1">
      <c r="A4" s="1451" t="s">
        <v>469</v>
      </c>
      <c r="B4" s="1463" t="str">
        <f>Criterios!B9</f>
        <v>CANARIAS</v>
      </c>
      <c r="C4" s="1452"/>
      <c r="D4" s="1452"/>
      <c r="E4" s="1453"/>
      <c r="F4" s="1452"/>
      <c r="G4" s="668"/>
      <c r="H4" s="1696" t="s">
        <v>470</v>
      </c>
      <c r="I4" s="1697"/>
      <c r="J4" s="1697"/>
      <c r="K4" s="1697"/>
      <c r="L4" s="1697"/>
      <c r="M4" s="1454"/>
      <c r="N4" s="1696" t="s">
        <v>471</v>
      </c>
      <c r="O4" s="1697"/>
      <c r="P4" s="1697"/>
      <c r="Q4" s="1697"/>
      <c r="R4" s="1697"/>
      <c r="S4" s="1697"/>
      <c r="T4" s="1697"/>
      <c r="U4" s="1697"/>
      <c r="V4" s="1697"/>
      <c r="W4" s="1697"/>
      <c r="X4" s="1697"/>
      <c r="Y4" s="1697"/>
      <c r="Z4" s="1697"/>
      <c r="AA4" s="1697"/>
      <c r="AB4" s="1697"/>
      <c r="AC4" s="1697"/>
      <c r="AD4" s="1698"/>
    </row>
    <row r="5" spans="1:31" s="537" customFormat="1" ht="15.75" customHeight="1">
      <c r="A5" s="1710" t="s">
        <v>460</v>
      </c>
      <c r="B5" s="1712" t="str">
        <f>"Año:  " &amp;Criterios!B5 &amp; "      Trimestre   " &amp;Criterios!D5 &amp; " al " &amp;Criterios!D6</f>
        <v>Año:  2021      Trimestre   1 al 4</v>
      </c>
      <c r="C5" s="1716" t="s">
        <v>333</v>
      </c>
      <c r="D5" s="1718" t="s">
        <v>169</v>
      </c>
      <c r="E5" s="1718" t="s">
        <v>123</v>
      </c>
      <c r="F5" s="1720" t="s">
        <v>14</v>
      </c>
      <c r="G5" s="1702"/>
      <c r="H5" s="1699" t="s">
        <v>465</v>
      </c>
      <c r="I5" s="1722" t="s">
        <v>467</v>
      </c>
      <c r="J5" s="1699" t="s">
        <v>466</v>
      </c>
      <c r="K5" s="1701" t="s">
        <v>382</v>
      </c>
      <c r="L5" s="1701" t="s">
        <v>468</v>
      </c>
      <c r="M5" s="1701" t="s">
        <v>462</v>
      </c>
      <c r="N5" s="1686"/>
      <c r="O5" s="1687"/>
      <c r="P5" s="582"/>
      <c r="Q5" s="1690" t="s">
        <v>592</v>
      </c>
      <c r="R5" s="1691"/>
      <c r="S5" s="1692"/>
      <c r="T5" s="1704"/>
      <c r="U5" s="1705"/>
      <c r="V5" s="1706"/>
      <c r="W5" s="1690" t="s">
        <v>344</v>
      </c>
      <c r="X5" s="1691"/>
      <c r="Y5" s="1691"/>
      <c r="Z5" s="1692"/>
      <c r="AA5" s="1690" t="s">
        <v>587</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287</v>
      </c>
      <c r="O7" s="1457" t="s">
        <v>503</v>
      </c>
      <c r="P7" s="1458" t="s">
        <v>504</v>
      </c>
      <c r="Q7" s="1459" t="s">
        <v>505</v>
      </c>
      <c r="R7" s="1458" t="s">
        <v>496</v>
      </c>
      <c r="S7" s="1459" t="s">
        <v>1143</v>
      </c>
      <c r="T7" s="1526" t="s">
        <v>1144</v>
      </c>
      <c r="U7" s="1526" t="s">
        <v>1145</v>
      </c>
      <c r="V7" s="1526" t="s">
        <v>1146</v>
      </c>
      <c r="W7" s="1457" t="s">
        <v>588</v>
      </c>
      <c r="X7" s="1541" t="s">
        <v>1148</v>
      </c>
      <c r="Y7" s="1541" t="s">
        <v>1149</v>
      </c>
      <c r="Z7" s="1542" t="s">
        <v>1150</v>
      </c>
      <c r="AA7" s="1460" t="s">
        <v>588</v>
      </c>
      <c r="AB7" s="1461" t="s">
        <v>589</v>
      </c>
      <c r="AC7" s="1461" t="s">
        <v>590</v>
      </c>
      <c r="AD7" s="1462" t="s">
        <v>591</v>
      </c>
      <c r="AE7" s="1462" t="s">
        <v>1141</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51</v>
      </c>
      <c r="D10" s="239">
        <f>IF(ISNUMBER(Datos!I10),Datos!I10," - ")</f>
        <v>61</v>
      </c>
      <c r="E10" s="240">
        <f>IF(ISNUMBER(Datos!J10),Datos!J10," - ")</f>
        <v>77</v>
      </c>
      <c r="F10" s="240">
        <f>IF(ISNUMBER(Datos!K10),Datos!K10," - ")</f>
        <v>70</v>
      </c>
      <c r="G10" s="1392" t="str">
        <f>IF(Datos!E10&lt;&gt;"",Datos!E10,Datos!D10)</f>
        <v>37</v>
      </c>
      <c r="H10" s="241">
        <f>IF(ISNUMBER(Datos!L10),Datos!L10," - ")</f>
        <v>58</v>
      </c>
      <c r="I10" s="1402" t="str">
        <f>IF(ISNUMBER(Datos!AS10/Datos!BM10),Datos!AS10/Datos!BM10," - ")</f>
        <v xml:space="preserve"> - </v>
      </c>
      <c r="J10" s="1403">
        <f>IF(ISNUMBER(Datos!BY10/Datos!CN10),Datos!BY10/Datos!CN10," - ")</f>
        <v>0</v>
      </c>
      <c r="K10" s="244">
        <f t="shared" ref="K10:K13" si="1">IF(ISNUMBER((E10-F10)/C10),(E10-F10)/C10," - ")</f>
        <v>0.13725490196078433</v>
      </c>
      <c r="L10" s="1404">
        <f>IF(ISNUMBER(NºAsuntos!I10/NºAsuntos!G10),(NºAsuntos!I10/NºAsuntos!G10)*11," - ")</f>
        <v>9.1142857142857157</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7</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9.697885646217987</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51</v>
      </c>
      <c r="D14" s="1409">
        <f>SUBTOTAL(9,D9:D13)</f>
        <v>61</v>
      </c>
      <c r="E14" s="1410">
        <f>SUBTOTAL(9,E9:E13)</f>
        <v>77</v>
      </c>
      <c r="F14" s="1411">
        <f>SUBTOTAL(9,F9:F13)</f>
        <v>70</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7</v>
      </c>
      <c r="B17" s="1464" t="str">
        <f>Datos!A17</f>
        <v xml:space="preserve">Jdos. 1ª Instª. e Instr.                        </v>
      </c>
      <c r="C17" s="239">
        <f t="shared" si="2"/>
        <v>1864</v>
      </c>
      <c r="D17" s="239">
        <f>IF(ISNUMBER(IF(D_I="SI",Datos!I17,Datos!I17+Datos!AC17)),IF(D_I="SI",Datos!I17,Datos!I17+Datos!AC17)," - ")</f>
        <v>1846</v>
      </c>
      <c r="E17" s="240">
        <f>IF(ISNUMBER(IF(D_I="SI",Datos!J17,Datos!J17+Datos!AD17)),IF(D_I="SI",Datos!J17,Datos!J17+Datos!AD17)," - ")</f>
        <v>6373</v>
      </c>
      <c r="F17" s="240">
        <f>IF(ISNUMBER(IF(D_I="SI",Datos!K17,Datos!K17+Datos!AE17)),IF(D_I="SI",Datos!K17,Datos!K17+Datos!AE17)," - ")</f>
        <v>6224</v>
      </c>
      <c r="G17" s="1392" t="str">
        <f>IF(Datos!E17&lt;&gt;"",Datos!E17,Datos!D17)</f>
        <v>04</v>
      </c>
      <c r="H17" s="241">
        <f>IF(ISNUMBER(IF(D_I="SI",Datos!L17,Datos!L17+Datos!AF17)),IF(D_I="SI",Datos!L17,Datos!L17+Datos!AF17)," - ")</f>
        <v>2013</v>
      </c>
      <c r="I17" s="1402" t="str">
        <f>IF(ISNUMBER(Datos!AS17/Datos!BM17),Datos!AS17/Datos!BM17," - ")</f>
        <v xml:space="preserve"> - </v>
      </c>
      <c r="J17" s="1403">
        <f>IF(ISNUMBER(Datos!BY17/Datos!CN17),Datos!BY17/Datos!CN17," - ")</f>
        <v>0</v>
      </c>
      <c r="K17" s="244">
        <f t="shared" si="3"/>
        <v>7.9935622317596572E-2</v>
      </c>
      <c r="L17" s="1404">
        <f>IF(ISNUMBER(NºAsuntos!I17/NºAsuntos!G17),(NºAsuntos!I17/NºAsuntos!G17)*11," - ")</f>
        <v>3.5576799485861184</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107</v>
      </c>
      <c r="D18" s="239">
        <f>IF(ISNUMBER(IF(D_I="SI",Datos!I18,Datos!I18+Datos!AC18)),IF(D_I="SI",Datos!I18,Datos!I18+Datos!AC18)," - ")</f>
        <v>87</v>
      </c>
      <c r="E18" s="240">
        <f>IF(ISNUMBER(IF(D_I="SI",Datos!J18,Datos!J18+Datos!AD18)),IF(D_I="SI",Datos!J18,Datos!J18+Datos!AD18)," - ")</f>
        <v>741</v>
      </c>
      <c r="F18" s="240">
        <f>IF(ISNUMBER(IF(D_I="SI",Datos!K18,Datos!K18+Datos!AE18)),IF(D_I="SI",Datos!K18,Datos!K18+Datos!AE18)," - ")</f>
        <v>790</v>
      </c>
      <c r="G18" s="1392" t="str">
        <f>IF(Datos!E18&lt;&gt;"",Datos!E18,Datos!D18)</f>
        <v>37</v>
      </c>
      <c r="H18" s="241">
        <f>IF(ISNUMBER(IF(D_I="SI",Datos!L18,Datos!L18+Datos!AF18)),IF(D_I="SI",Datos!L18,Datos!L18+Datos!AF18)," - ")</f>
        <v>58</v>
      </c>
      <c r="I18" s="1402" t="str">
        <f>IF(ISNUMBER(Datos!AS18/Datos!BM18),Datos!AS18/Datos!BM18," - ")</f>
        <v xml:space="preserve"> - </v>
      </c>
      <c r="J18" s="1403" t="str">
        <f>IF(ISNUMBER((Datos!BY18+Datos!BZ18)/Datos!CN18),(Datos!BY18+Datos!BZ18)/Datos!CN18," - ")</f>
        <v xml:space="preserve"> - </v>
      </c>
      <c r="K18" s="244">
        <f t="shared" si="3"/>
        <v>-0.45794392523364486</v>
      </c>
      <c r="L18" s="1404">
        <f>IF(ISNUMBER(NºAsuntos!I18/NºAsuntos!G18),(NºAsuntos!I18/NºAsuntos!G18)*11," - ")</f>
        <v>0.80759493670886084</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1971</v>
      </c>
      <c r="D23" s="1409">
        <f>SUBTOTAL(9,D16:D22)</f>
        <v>1933</v>
      </c>
      <c r="E23" s="1410">
        <f>SUBTOTAL(9,E16:E22)</f>
        <v>7114</v>
      </c>
      <c r="F23" s="1410">
        <f>SUBTOTAL(9,F16:F22)</f>
        <v>7014</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1</v>
      </c>
      <c r="B28" s="1464" t="str">
        <f>Datos!A28</f>
        <v xml:space="preserve">Jdos. de lo Social                              </v>
      </c>
      <c r="C28" s="239">
        <f>IF(ISNUMBER(H28-E28+F28),H28-E28+F28," - ")</f>
        <v>100</v>
      </c>
      <c r="D28" s="239">
        <f>IF(ISNUMBER(Datos!I28),Datos!I28," - ")</f>
        <v>90</v>
      </c>
      <c r="E28" s="240">
        <f>IF(ISNUMBER(Datos!J28),Datos!J28," - ")</f>
        <v>631</v>
      </c>
      <c r="F28" s="240">
        <f>IF(ISNUMBER(Datos!K28),Datos!K28," - ")</f>
        <v>613</v>
      </c>
      <c r="G28" s="1392" t="str">
        <f>IF(Datos!E28&lt;&gt;"",Datos!E28,Datos!D28)</f>
        <v>05</v>
      </c>
      <c r="H28" s="241">
        <f>IF(ISNUMBER(Datos!L28),Datos!L28," - ")</f>
        <v>118</v>
      </c>
      <c r="I28" s="1402" t="str">
        <f>IF(ISNUMBER(Datos!AS28/Datos!BM28),Datos!AS28/Datos!BM28," - ")</f>
        <v xml:space="preserve"> - </v>
      </c>
      <c r="J28" s="1403" t="str">
        <f>IF(ISNUMBER(Datos!BY28/Datos!CN28),Datos!BY28/Datos!CN28," - ")</f>
        <v xml:space="preserve"> - </v>
      </c>
      <c r="K28" s="244">
        <f>IF(ISNUMBER((E28-F28)/C28),(E28-F28)/C28," - ")</f>
        <v>0.18</v>
      </c>
      <c r="L28" s="1404">
        <f>IF(ISNUMBER(NºAsuntos!I28/NºAsuntos!G28),(NºAsuntos!I28/NºAsuntos!G28)*11," - ")</f>
        <v>2.1174551386623164</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100</v>
      </c>
      <c r="D30" s="1409">
        <f>SUBTOTAL(9,D28:D29)</f>
        <v>90</v>
      </c>
      <c r="E30" s="1410">
        <f>SUBTOTAL(9,E28:E29)</f>
        <v>631</v>
      </c>
      <c r="F30" s="1410">
        <f>SUBTOTAL(9,F28:F29)</f>
        <v>613</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2122</v>
      </c>
      <c r="D31" s="1437">
        <f>SUBTOTAL(9,D9:D30)</f>
        <v>2084</v>
      </c>
      <c r="E31" s="1438">
        <f>SUBTOTAL(9,E9:E30)</f>
        <v>7822</v>
      </c>
      <c r="F31" s="1438">
        <f>SUBTOTAL(9,F9:F30)</f>
        <v>7697</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837</v>
      </c>
      <c r="O37" s="1685"/>
      <c r="P37" s="1685"/>
      <c r="Q37" s="1685"/>
      <c r="R37" s="1685"/>
      <c r="S37" s="1685"/>
      <c r="T37" s="1685"/>
      <c r="U37" s="1685"/>
      <c r="V37" s="1685"/>
      <c r="W37" s="1685"/>
      <c r="Y37" s="1685" t="s">
        <v>838</v>
      </c>
      <c r="Z37" s="1685"/>
      <c r="AA37" s="1685"/>
      <c r="AB37" s="1685"/>
      <c r="AC37" s="1685"/>
    </row>
    <row r="39" spans="2:29">
      <c r="N39" s="1388" t="s">
        <v>839</v>
      </c>
      <c r="O39" s="1680" t="s">
        <v>840</v>
      </c>
      <c r="P39" s="1680"/>
      <c r="Q39" s="1680"/>
      <c r="R39" s="1680"/>
      <c r="S39" s="1680"/>
      <c r="T39" s="1680"/>
      <c r="U39" s="1680"/>
      <c r="V39" s="1680"/>
      <c r="W39" s="1680"/>
      <c r="Y39" s="1388" t="s">
        <v>839</v>
      </c>
      <c r="Z39" s="1683" t="s">
        <v>841</v>
      </c>
      <c r="AA39" s="1683"/>
      <c r="AB39" s="1683"/>
      <c r="AC39" s="1683"/>
    </row>
    <row r="40" spans="2:29">
      <c r="N40" s="1388" t="s">
        <v>842</v>
      </c>
      <c r="O40" s="1680" t="s">
        <v>843</v>
      </c>
      <c r="P40" s="1680"/>
      <c r="Q40" s="1680"/>
      <c r="R40" s="1680"/>
      <c r="S40" s="1680"/>
      <c r="T40" s="1680"/>
      <c r="U40" s="1680"/>
      <c r="V40" s="1680"/>
      <c r="W40" s="1680"/>
      <c r="Y40" s="1388" t="s">
        <v>842</v>
      </c>
      <c r="Z40" s="1683" t="s">
        <v>844</v>
      </c>
      <c r="AA40" s="1683"/>
      <c r="AB40" s="1683"/>
      <c r="AC40" s="1683"/>
    </row>
    <row r="41" spans="2:29">
      <c r="N41" s="1388" t="s">
        <v>845</v>
      </c>
      <c r="O41" s="1680" t="s">
        <v>846</v>
      </c>
      <c r="P41" s="1680"/>
      <c r="Q41" s="1680"/>
      <c r="R41" s="1680"/>
      <c r="S41" s="1680"/>
      <c r="T41" s="1680"/>
      <c r="U41" s="1680"/>
      <c r="V41" s="1680"/>
      <c r="W41" s="1680"/>
      <c r="Y41" s="1388" t="s">
        <v>847</v>
      </c>
      <c r="Z41" s="1683" t="s">
        <v>848</v>
      </c>
      <c r="AA41" s="1683"/>
      <c r="AB41" s="1683"/>
      <c r="AC41" s="1683"/>
    </row>
    <row r="42" spans="2:29">
      <c r="N42" s="1388" t="s">
        <v>849</v>
      </c>
      <c r="O42" s="1680" t="s">
        <v>850</v>
      </c>
      <c r="P42" s="1680"/>
      <c r="Q42" s="1680"/>
      <c r="R42" s="1680"/>
      <c r="S42" s="1680"/>
      <c r="T42" s="1680"/>
      <c r="U42" s="1680"/>
      <c r="V42" s="1680"/>
      <c r="W42" s="1680"/>
      <c r="Y42" s="1388" t="s">
        <v>851</v>
      </c>
      <c r="Z42" s="1683" t="s">
        <v>852</v>
      </c>
      <c r="AA42" s="1683"/>
      <c r="AB42" s="1683"/>
      <c r="AC42" s="1683"/>
    </row>
    <row r="43" spans="2:29">
      <c r="N43" s="1388" t="s">
        <v>939</v>
      </c>
      <c r="O43" s="1680" t="s">
        <v>940</v>
      </c>
      <c r="P43" s="1680"/>
      <c r="Q43" s="1680"/>
      <c r="R43" s="1680"/>
      <c r="S43" s="1680"/>
      <c r="T43" s="1680"/>
      <c r="U43" s="1680"/>
      <c r="V43" s="1680"/>
      <c r="W43" s="1680"/>
      <c r="Y43" s="1388" t="s">
        <v>845</v>
      </c>
      <c r="Z43" s="1683" t="s">
        <v>846</v>
      </c>
      <c r="AA43" s="1683"/>
      <c r="AB43" s="1683"/>
      <c r="AC43" s="1683"/>
    </row>
    <row r="44" spans="2:29">
      <c r="N44" s="1388" t="s">
        <v>853</v>
      </c>
      <c r="O44" s="1680" t="s">
        <v>854</v>
      </c>
      <c r="P44" s="1680"/>
      <c r="Q44" s="1680"/>
      <c r="R44" s="1680"/>
      <c r="S44" s="1680"/>
      <c r="T44" s="1680"/>
      <c r="U44" s="1680"/>
      <c r="V44" s="1680"/>
      <c r="W44" s="1680"/>
      <c r="Y44" s="1388" t="s">
        <v>849</v>
      </c>
      <c r="Z44" s="1683" t="s">
        <v>850</v>
      </c>
      <c r="AA44" s="1683"/>
      <c r="AB44" s="1683"/>
      <c r="AC44" s="1683"/>
    </row>
    <row r="45" spans="2:29">
      <c r="N45" s="1388" t="s">
        <v>855</v>
      </c>
      <c r="O45" s="1680" t="s">
        <v>856</v>
      </c>
      <c r="P45" s="1680"/>
      <c r="Q45" s="1680"/>
      <c r="R45" s="1680"/>
      <c r="S45" s="1680"/>
      <c r="T45" s="1680"/>
      <c r="U45" s="1680"/>
      <c r="V45" s="1680"/>
      <c r="W45" s="1680"/>
      <c r="Y45" s="1388" t="s">
        <v>858</v>
      </c>
      <c r="Z45" s="1683" t="s">
        <v>859</v>
      </c>
      <c r="AA45" s="1683"/>
      <c r="AB45" s="1683"/>
      <c r="AC45" s="1683"/>
    </row>
    <row r="46" spans="2:29">
      <c r="N46" s="1388" t="s">
        <v>847</v>
      </c>
      <c r="O46" s="1680" t="s">
        <v>857</v>
      </c>
      <c r="P46" s="1680"/>
      <c r="Q46" s="1680"/>
      <c r="R46" s="1680"/>
      <c r="S46" s="1680"/>
      <c r="T46" s="1680"/>
      <c r="U46" s="1680"/>
      <c r="V46" s="1680"/>
      <c r="W46" s="1680"/>
      <c r="Y46" s="1388" t="s">
        <v>861</v>
      </c>
      <c r="Z46" s="1683" t="s">
        <v>862</v>
      </c>
      <c r="AA46" s="1683"/>
      <c r="AB46" s="1683"/>
      <c r="AC46" s="1683"/>
    </row>
    <row r="47" spans="2:29">
      <c r="N47" s="1388" t="s">
        <v>851</v>
      </c>
      <c r="O47" s="1680" t="s">
        <v>860</v>
      </c>
      <c r="P47" s="1680"/>
      <c r="Q47" s="1680"/>
      <c r="R47" s="1680"/>
      <c r="S47" s="1680"/>
      <c r="T47" s="1680"/>
      <c r="U47" s="1680"/>
      <c r="V47" s="1680"/>
      <c r="W47" s="1680"/>
      <c r="Y47" s="1389" t="s">
        <v>864</v>
      </c>
      <c r="Z47" s="1681" t="s">
        <v>865</v>
      </c>
      <c r="AA47" s="1681"/>
      <c r="AB47" s="1681"/>
      <c r="AC47" s="1681"/>
    </row>
    <row r="48" spans="2:29">
      <c r="N48" s="1388" t="s">
        <v>858</v>
      </c>
      <c r="O48" s="1680" t="s">
        <v>863</v>
      </c>
      <c r="P48" s="1680"/>
      <c r="Q48" s="1680"/>
      <c r="R48" s="1680"/>
      <c r="S48" s="1680"/>
      <c r="T48" s="1680"/>
      <c r="U48" s="1680"/>
      <c r="V48" s="1680"/>
      <c r="W48" s="1680"/>
      <c r="Y48" s="1388" t="s">
        <v>853</v>
      </c>
      <c r="Z48" s="1683" t="s">
        <v>854</v>
      </c>
      <c r="AA48" s="1683"/>
      <c r="AB48" s="1683"/>
      <c r="AC48" s="1683"/>
    </row>
    <row r="49" spans="14:29">
      <c r="N49" s="1388" t="s">
        <v>866</v>
      </c>
      <c r="O49" s="1680" t="s">
        <v>867</v>
      </c>
      <c r="P49" s="1680"/>
      <c r="Q49" s="1680"/>
      <c r="R49" s="1680"/>
      <c r="S49" s="1680"/>
      <c r="T49" s="1680"/>
      <c r="U49" s="1680"/>
      <c r="V49" s="1680"/>
      <c r="W49" s="1680"/>
      <c r="Y49" s="1390" t="s">
        <v>855</v>
      </c>
      <c r="Z49" s="1684" t="s">
        <v>856</v>
      </c>
      <c r="AA49" s="1684"/>
      <c r="AB49" s="1684"/>
      <c r="AC49" s="1684"/>
    </row>
    <row r="50" spans="14:29">
      <c r="N50" s="1388" t="s">
        <v>861</v>
      </c>
      <c r="O50" s="1680" t="s">
        <v>868</v>
      </c>
      <c r="P50" s="1680"/>
      <c r="Q50" s="1680"/>
      <c r="R50" s="1680"/>
      <c r="S50" s="1680"/>
      <c r="T50" s="1680"/>
      <c r="U50" s="1680"/>
      <c r="V50" s="1680"/>
      <c r="W50" s="1680"/>
    </row>
    <row r="51" spans="14:29">
      <c r="N51" s="1390" t="s">
        <v>864</v>
      </c>
      <c r="O51" s="1682" t="s">
        <v>869</v>
      </c>
      <c r="P51" s="1682"/>
      <c r="Q51" s="1682"/>
      <c r="R51" s="1682"/>
      <c r="S51" s="1682"/>
      <c r="T51" s="1682"/>
      <c r="U51" s="1682"/>
      <c r="V51" s="1682"/>
      <c r="W51" s="1682"/>
    </row>
  </sheetData>
  <sheetProtection algorithmName="SHA-512" hashValue="uzQo1SWn8tKsK1vD7HLosBYTWyxHITzkIvUbK5f6RxdHjdKK/vuz6nvf8IzsSRYYKH+Tp/WiQHrHLVGIaURMYg==" saltValue="PivCcQqRw3+JYnWDn1BUX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535</v>
      </c>
    </row>
    <row r="9" spans="2:2">
      <c r="B9" s="531"/>
    </row>
    <row r="10" spans="2:2">
      <c r="B10" s="525"/>
    </row>
    <row r="11" spans="2:2" ht="25.5">
      <c r="B11" s="526" t="s">
        <v>536</v>
      </c>
    </row>
    <row r="12" spans="2:2">
      <c r="B12" s="527"/>
    </row>
    <row r="13" spans="2:2" ht="89.25">
      <c r="B13" s="1540" t="s">
        <v>1147</v>
      </c>
    </row>
    <row r="14" spans="2:2">
      <c r="B14" s="527"/>
    </row>
    <row r="15" spans="2:2" ht="51">
      <c r="B15" s="527" t="s">
        <v>537</v>
      </c>
    </row>
    <row r="16" spans="2:2">
      <c r="B16" s="527"/>
    </row>
    <row r="17" spans="2:2" ht="51">
      <c r="B17" s="528" t="s">
        <v>538</v>
      </c>
    </row>
  </sheetData>
  <sheetProtection algorithmName="SHA-512" hashValue="qqz/QpxEW2W1+SnC/BGzLPgnMn7AiIuDsVKHEyuPkO1KkiSfnrvDNtmJBuKw0xmdtR7y7SvEzC6kbOy9CWnkuA==" saltValue="3ZXq+HXNI6WUQEjnznhJ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510</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293</v>
      </c>
      <c r="BK1" s="53" t="s">
        <v>298</v>
      </c>
      <c r="BL1" s="32" t="s">
        <v>299</v>
      </c>
      <c r="BM1" s="31" t="s">
        <v>304</v>
      </c>
      <c r="BN1" s="53"/>
      <c r="BO1" s="32"/>
      <c r="BP1" s="31"/>
      <c r="BQ1" s="53"/>
      <c r="BR1" s="32"/>
      <c r="BS1" s="31"/>
      <c r="BT1" s="53"/>
      <c r="BU1" s="32"/>
      <c r="BV1" s="31" t="s">
        <v>355</v>
      </c>
      <c r="BW1" s="53" t="s">
        <v>356</v>
      </c>
      <c r="BX1" s="32" t="s">
        <v>361</v>
      </c>
      <c r="BY1" s="31" t="s">
        <v>363</v>
      </c>
      <c r="BZ1" s="53" t="s">
        <v>372</v>
      </c>
      <c r="CA1" s="32" t="s">
        <v>373</v>
      </c>
      <c r="CB1" s="31" t="s">
        <v>458</v>
      </c>
      <c r="CC1" s="53" t="s">
        <v>461</v>
      </c>
      <c r="CD1" s="32" t="s">
        <v>463</v>
      </c>
      <c r="CE1" s="31" t="s">
        <v>473</v>
      </c>
      <c r="CF1" s="53" t="s">
        <v>474</v>
      </c>
      <c r="CG1" s="32" t="s">
        <v>475</v>
      </c>
      <c r="CH1" s="31" t="s">
        <v>476</v>
      </c>
      <c r="CI1" s="53" t="s">
        <v>500</v>
      </c>
      <c r="CJ1" s="32" t="s">
        <v>502</v>
      </c>
      <c r="CK1" s="31" t="s">
        <v>288</v>
      </c>
      <c r="CL1" s="53" t="s">
        <v>406</v>
      </c>
      <c r="CM1" s="32" t="s">
        <v>411</v>
      </c>
      <c r="CN1" s="31" t="s">
        <v>432</v>
      </c>
      <c r="CO1" s="53" t="s">
        <v>433</v>
      </c>
      <c r="CP1" s="32" t="s">
        <v>450</v>
      </c>
      <c r="CQ1" s="31" t="s">
        <v>451</v>
      </c>
      <c r="CR1" s="32" t="s">
        <v>452</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524</v>
      </c>
      <c r="DF1" s="32" t="s">
        <v>59</v>
      </c>
      <c r="DG1" s="31" t="s">
        <v>586</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345</v>
      </c>
      <c r="CF4" s="1775"/>
      <c r="CG4" s="1775"/>
      <c r="CH4" s="1776"/>
    </row>
    <row r="5" spans="1:151" ht="12.75" customHeight="1" thickBot="1">
      <c r="A5" s="1800" t="str">
        <f>"Año:  " &amp;Criterios!B5 &amp; "                  Trimestre   " &amp;Criterios!D5 &amp; " al " &amp;Criterios!D6</f>
        <v>Año:  2021                  Trimestre   1 al 4</v>
      </c>
      <c r="B5" s="1802" t="s">
        <v>511</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211</v>
      </c>
      <c r="AT5" s="1789" t="s">
        <v>212</v>
      </c>
      <c r="AU5" s="1789" t="s">
        <v>302</v>
      </c>
      <c r="AV5" s="1789" t="s">
        <v>300</v>
      </c>
      <c r="AW5" s="1789" t="s">
        <v>303</v>
      </c>
      <c r="AX5" s="1789" t="s">
        <v>301</v>
      </c>
      <c r="AY5" s="1783" t="s">
        <v>149</v>
      </c>
      <c r="AZ5" s="1836"/>
      <c r="BA5" s="1836"/>
      <c r="BB5" s="1836"/>
      <c r="BC5" s="1837"/>
      <c r="BD5" s="1783" t="s">
        <v>150</v>
      </c>
      <c r="BE5" s="1784"/>
      <c r="BF5" s="1784"/>
      <c r="BG5" s="1785"/>
      <c r="BH5" s="1777" t="s">
        <v>188</v>
      </c>
      <c r="BI5" s="1777" t="s">
        <v>189</v>
      </c>
      <c r="BJ5" s="1833" t="s">
        <v>269</v>
      </c>
      <c r="BK5" s="1794" t="s">
        <v>272</v>
      </c>
      <c r="BL5" s="1794" t="s">
        <v>279</v>
      </c>
      <c r="BM5" s="1830" t="s">
        <v>407</v>
      </c>
      <c r="BN5" s="1607"/>
      <c r="BO5" s="1608"/>
      <c r="BP5" s="1607"/>
      <c r="BQ5" s="1608"/>
      <c r="BR5" s="1607"/>
      <c r="BS5" s="1608"/>
      <c r="BT5" s="1607"/>
      <c r="BU5" s="1608"/>
      <c r="BV5" s="1791" t="s">
        <v>344</v>
      </c>
      <c r="BW5" s="1797" t="s">
        <v>322</v>
      </c>
      <c r="BX5" s="1797" t="s">
        <v>323</v>
      </c>
      <c r="BY5" s="1780" t="s">
        <v>331</v>
      </c>
      <c r="BZ5" s="1780" t="s">
        <v>457</v>
      </c>
      <c r="CA5" s="1767" t="s">
        <v>360</v>
      </c>
      <c r="CB5" s="1767" t="s">
        <v>351</v>
      </c>
      <c r="CC5" s="1767" t="s">
        <v>352</v>
      </c>
      <c r="CD5" s="1767" t="s">
        <v>353</v>
      </c>
      <c r="CE5" s="1755" t="s">
        <v>364</v>
      </c>
      <c r="CF5" s="1755" t="s">
        <v>343</v>
      </c>
      <c r="CG5" s="1755" t="s">
        <v>341</v>
      </c>
      <c r="CH5" s="1755" t="s">
        <v>342</v>
      </c>
      <c r="CI5" s="1771" t="s">
        <v>370</v>
      </c>
      <c r="CJ5" s="1771" t="s">
        <v>371</v>
      </c>
      <c r="CK5" s="1746" t="s">
        <v>541</v>
      </c>
      <c r="CL5" s="1746" t="s">
        <v>542</v>
      </c>
      <c r="CM5" s="1746" t="s">
        <v>580</v>
      </c>
      <c r="CN5" s="1768" t="s">
        <v>479</v>
      </c>
      <c r="CO5" s="1768" t="s">
        <v>472</v>
      </c>
      <c r="CP5" s="1768" t="s">
        <v>478</v>
      </c>
      <c r="CQ5" s="1761" t="s">
        <v>477</v>
      </c>
      <c r="CR5" s="1761" t="s">
        <v>477</v>
      </c>
      <c r="CS5" s="1755" t="s">
        <v>498</v>
      </c>
      <c r="CT5" s="1755" t="s">
        <v>501</v>
      </c>
      <c r="CU5" s="1755" t="s">
        <v>287</v>
      </c>
      <c r="CV5" s="1755" t="s">
        <v>399</v>
      </c>
      <c r="CW5" s="1755" t="s">
        <v>431</v>
      </c>
      <c r="CX5" s="1755" t="s">
        <v>442</v>
      </c>
      <c r="CY5" s="1755" t="s">
        <v>567</v>
      </c>
      <c r="CZ5" s="1755" t="s">
        <v>568</v>
      </c>
      <c r="DA5" s="1755" t="s">
        <v>569</v>
      </c>
      <c r="DB5" s="1727" t="s">
        <v>252</v>
      </c>
      <c r="DC5" s="1727" t="s">
        <v>253</v>
      </c>
      <c r="DD5" s="1727" t="s">
        <v>254</v>
      </c>
      <c r="DE5" s="1758" t="s">
        <v>225</v>
      </c>
      <c r="DF5" s="1758" t="s">
        <v>523</v>
      </c>
      <c r="DG5" s="1755" t="s">
        <v>582</v>
      </c>
      <c r="DH5" s="1746" t="s">
        <v>541</v>
      </c>
      <c r="DI5" s="1746" t="s">
        <v>542</v>
      </c>
      <c r="DJ5" s="1746" t="s">
        <v>579</v>
      </c>
      <c r="DK5" s="1746" t="s">
        <v>633</v>
      </c>
      <c r="DL5" s="1746" t="s">
        <v>637</v>
      </c>
      <c r="DM5" s="1745" t="s">
        <v>709</v>
      </c>
      <c r="DN5" s="1745" t="s">
        <v>710</v>
      </c>
      <c r="DO5" s="1745" t="s">
        <v>711</v>
      </c>
      <c r="DP5" s="1745" t="s">
        <v>712</v>
      </c>
      <c r="DQ5" s="1745" t="s">
        <v>713</v>
      </c>
      <c r="DR5" s="1745" t="s">
        <v>714</v>
      </c>
      <c r="DS5" s="1745" t="s">
        <v>715</v>
      </c>
      <c r="DT5" s="1745" t="s">
        <v>716</v>
      </c>
      <c r="DU5" s="1764" t="s">
        <v>717</v>
      </c>
      <c r="DV5" s="1752" t="s">
        <v>718</v>
      </c>
      <c r="DW5" s="1749" t="s">
        <v>719</v>
      </c>
      <c r="DX5" s="1745" t="s">
        <v>720</v>
      </c>
      <c r="DY5" s="1733" t="s">
        <v>721</v>
      </c>
      <c r="DZ5" s="1749" t="s">
        <v>722</v>
      </c>
      <c r="EA5" s="1733" t="s">
        <v>723</v>
      </c>
      <c r="EB5" s="1742" t="s">
        <v>783</v>
      </c>
      <c r="EC5" s="1742" t="s">
        <v>784</v>
      </c>
      <c r="ED5" s="1742" t="s">
        <v>785</v>
      </c>
      <c r="EE5" s="1742" t="s">
        <v>825</v>
      </c>
      <c r="EF5" s="1742" t="s">
        <v>829</v>
      </c>
      <c r="EG5" s="1733" t="s">
        <v>827</v>
      </c>
      <c r="EH5" s="1733" t="s">
        <v>828</v>
      </c>
      <c r="EI5" s="1733" t="s">
        <v>787</v>
      </c>
      <c r="EJ5" s="1733" t="s">
        <v>788</v>
      </c>
      <c r="EK5" s="1730" t="s">
        <v>876</v>
      </c>
      <c r="EL5" s="1736" t="s">
        <v>894</v>
      </c>
      <c r="EM5" s="1737"/>
      <c r="EN5" s="1738"/>
      <c r="EO5" s="1727" t="s">
        <v>1000</v>
      </c>
      <c r="EP5" s="1727" t="s">
        <v>1002</v>
      </c>
      <c r="EQ5" s="1727" t="s">
        <v>1003</v>
      </c>
      <c r="ER5" s="1727" t="s">
        <v>1009</v>
      </c>
      <c r="ES5" s="1727" t="s">
        <v>1019</v>
      </c>
      <c r="ET5" s="1724" t="s">
        <v>1136</v>
      </c>
      <c r="EU5" s="1724" t="s">
        <v>1137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999</v>
      </c>
      <c r="B7" s="1804"/>
      <c r="C7" s="1807"/>
      <c r="D7" s="69" t="s">
        <v>512</v>
      </c>
      <c r="E7" s="70" t="s">
        <v>167</v>
      </c>
      <c r="F7" s="70" t="s">
        <v>166</v>
      </c>
      <c r="G7" s="131" t="s">
        <v>48</v>
      </c>
      <c r="H7" s="132" t="s">
        <v>513</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895</v>
      </c>
      <c r="EM7" s="854" t="s">
        <v>126</v>
      </c>
      <c r="EN7" s="854" t="s">
        <v>127</v>
      </c>
      <c r="EO7" s="1729"/>
      <c r="EP7" s="1729"/>
      <c r="EQ7" s="1729"/>
      <c r="ER7" s="1729"/>
      <c r="ES7" s="1729"/>
      <c r="ET7" s="1726"/>
      <c r="EU7" s="1726"/>
    </row>
    <row r="8" spans="1:151" ht="14.25" customHeight="1" thickBot="1">
      <c r="A8" s="73" t="s">
        <v>142</v>
      </c>
      <c r="B8" s="151" t="s">
        <v>514</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6" t="s">
        <v>595</v>
      </c>
      <c r="DK8" s="536" t="s">
        <v>634</v>
      </c>
      <c r="DL8" s="536" t="s">
        <v>635</v>
      </c>
      <c r="DM8" s="536" t="s">
        <v>724</v>
      </c>
      <c r="DN8" s="536" t="s">
        <v>725</v>
      </c>
      <c r="DO8" s="536" t="s">
        <v>726</v>
      </c>
      <c r="DP8" s="536" t="s">
        <v>727</v>
      </c>
      <c r="DQ8" s="536" t="s">
        <v>728</v>
      </c>
      <c r="DR8" s="536" t="s">
        <v>729</v>
      </c>
      <c r="DS8" s="536" t="s">
        <v>730</v>
      </c>
      <c r="DT8" s="536" t="s">
        <v>731</v>
      </c>
      <c r="DU8" s="542" t="s">
        <v>732</v>
      </c>
      <c r="DV8" s="536" t="s">
        <v>733</v>
      </c>
      <c r="DW8" s="536" t="s">
        <v>734</v>
      </c>
      <c r="DX8" s="536" t="s">
        <v>735</v>
      </c>
      <c r="DY8" s="536" t="s">
        <v>736</v>
      </c>
      <c r="DZ8" s="536" t="s">
        <v>737</v>
      </c>
      <c r="EA8" s="536" t="s">
        <v>738</v>
      </c>
      <c r="EB8" s="536" t="s">
        <v>795</v>
      </c>
      <c r="EC8" s="536" t="s">
        <v>796</v>
      </c>
      <c r="ED8" s="536" t="s">
        <v>797</v>
      </c>
      <c r="EE8" s="536" t="s">
        <v>798</v>
      </c>
      <c r="EF8" s="536" t="s">
        <v>799</v>
      </c>
      <c r="EG8" s="536" t="s">
        <v>800</v>
      </c>
      <c r="EH8" s="536" t="s">
        <v>801</v>
      </c>
      <c r="EI8" s="536" t="s">
        <v>802</v>
      </c>
      <c r="EJ8" s="536" t="s">
        <v>803</v>
      </c>
      <c r="EK8" s="536" t="s">
        <v>877</v>
      </c>
      <c r="EL8" s="855" t="s">
        <v>896</v>
      </c>
      <c r="EM8" s="855" t="s">
        <v>897</v>
      </c>
      <c r="EN8" s="855" t="s">
        <v>898</v>
      </c>
      <c r="EO8" s="53" t="s">
        <v>1001</v>
      </c>
      <c r="EP8" s="53" t="s">
        <v>1007</v>
      </c>
      <c r="EQ8" s="536" t="s">
        <v>1008</v>
      </c>
      <c r="ER8" s="536">
        <v>148</v>
      </c>
      <c r="ES8" s="536" t="s">
        <v>1020</v>
      </c>
      <c r="ET8" s="1522" t="s">
        <v>1138</v>
      </c>
      <c r="EU8" s="1522" t="s">
        <v>1139</v>
      </c>
    </row>
    <row r="9" spans="1:151" ht="14.25" customHeight="1">
      <c r="A9" s="20" t="s">
        <v>69</v>
      </c>
      <c r="B9" s="21" t="s">
        <v>514</v>
      </c>
      <c r="C9" s="22" t="s">
        <v>8</v>
      </c>
      <c r="D9" s="23" t="s">
        <v>25</v>
      </c>
      <c r="E9" s="21" t="s">
        <v>26</v>
      </c>
      <c r="F9" s="21">
        <v>32</v>
      </c>
      <c r="G9" s="6"/>
      <c r="H9" s="146" t="s">
        <v>315</v>
      </c>
      <c r="I9" s="193" t="s">
        <v>1095</v>
      </c>
      <c r="J9" s="194" t="s">
        <v>1076</v>
      </c>
      <c r="K9" s="194" t="s">
        <v>1096</v>
      </c>
      <c r="L9" s="194" t="s">
        <v>1115</v>
      </c>
      <c r="M9" s="194" t="s">
        <v>647</v>
      </c>
      <c r="N9" s="194" t="s">
        <v>663</v>
      </c>
      <c r="O9" s="194" t="s">
        <v>282</v>
      </c>
      <c r="P9" s="194" t="s">
        <v>54</v>
      </c>
      <c r="Q9" s="194" t="s">
        <v>55</v>
      </c>
      <c r="R9" s="194" t="s">
        <v>122</v>
      </c>
      <c r="S9" s="194"/>
      <c r="T9" s="194"/>
      <c r="U9" s="194"/>
      <c r="V9" s="194"/>
      <c r="W9" s="194"/>
      <c r="X9" s="201"/>
      <c r="Y9" s="204" t="s">
        <v>175</v>
      </c>
      <c r="Z9" s="194" t="s">
        <v>176</v>
      </c>
      <c r="AA9" s="194" t="s">
        <v>177</v>
      </c>
      <c r="AB9" s="194" t="s">
        <v>178</v>
      </c>
      <c r="AC9" s="194"/>
      <c r="AD9" s="194"/>
      <c r="AE9" s="194"/>
      <c r="AF9" s="201"/>
      <c r="AG9" s="204"/>
      <c r="AH9" s="194"/>
      <c r="AI9" s="194"/>
      <c r="AJ9" s="205"/>
      <c r="AK9" s="193"/>
      <c r="AL9" s="194"/>
      <c r="AM9" s="194"/>
      <c r="AN9" s="201"/>
      <c r="AO9" s="282">
        <v>0</v>
      </c>
      <c r="AP9" s="167">
        <v>0</v>
      </c>
      <c r="AQ9" s="167">
        <v>0</v>
      </c>
      <c r="AR9" s="206">
        <v>0</v>
      </c>
      <c r="AS9" s="380" t="s">
        <v>1074</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1075</v>
      </c>
      <c r="EP9" s="1336"/>
      <c r="EQ9" s="1336"/>
      <c r="ER9" s="1341">
        <v>1200</v>
      </c>
      <c r="ES9" s="1336"/>
      <c r="ET9" s="1523"/>
      <c r="EU9" s="1523"/>
    </row>
    <row r="10" spans="1:151" ht="14.25" customHeight="1">
      <c r="A10" s="20" t="s">
        <v>184</v>
      </c>
      <c r="B10" s="21" t="s">
        <v>514</v>
      </c>
      <c r="C10" s="22" t="s">
        <v>8</v>
      </c>
      <c r="D10" s="23" t="s">
        <v>111</v>
      </c>
      <c r="E10" s="21" t="s">
        <v>111</v>
      </c>
      <c r="F10" s="21" t="s">
        <v>179</v>
      </c>
      <c r="G10" s="6"/>
      <c r="H10" s="28"/>
      <c r="I10" s="193">
        <v>61</v>
      </c>
      <c r="J10" s="194">
        <v>77</v>
      </c>
      <c r="K10" s="194">
        <v>70</v>
      </c>
      <c r="L10" s="194">
        <v>58</v>
      </c>
      <c r="M10" s="194">
        <v>36</v>
      </c>
      <c r="N10" s="194">
        <v>26</v>
      </c>
      <c r="O10" s="194">
        <v>6</v>
      </c>
      <c r="P10" s="194">
        <v>2</v>
      </c>
      <c r="Q10" s="194">
        <v>1</v>
      </c>
      <c r="R10" s="194">
        <v>16</v>
      </c>
      <c r="S10" s="194">
        <v>38</v>
      </c>
      <c r="T10" s="194">
        <v>81</v>
      </c>
      <c r="U10" s="194">
        <v>58</v>
      </c>
      <c r="V10" s="194">
        <v>61</v>
      </c>
      <c r="W10" s="194">
        <v>15</v>
      </c>
      <c r="X10" s="201">
        <v>31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1068</v>
      </c>
      <c r="AT10" s="205"/>
      <c r="AU10" s="213"/>
      <c r="AV10" s="205"/>
      <c r="AW10" s="213"/>
      <c r="AX10" s="205"/>
      <c r="AY10" s="138">
        <f t="shared" ref="AY10:BC10" si="0">IF(ISNUMBER(S10),S10," - ")</f>
        <v>38</v>
      </c>
      <c r="AZ10" s="139">
        <f t="shared" si="0"/>
        <v>81</v>
      </c>
      <c r="BA10" s="139">
        <f t="shared" si="0"/>
        <v>58</v>
      </c>
      <c r="BB10" s="139">
        <f t="shared" si="0"/>
        <v>61</v>
      </c>
      <c r="BC10" s="135">
        <f t="shared" si="0"/>
        <v>15</v>
      </c>
      <c r="BD10" s="136">
        <f>IF(ISNUMBER(BA10/AZ10),BA10/AZ10," - ")</f>
        <v>0.71604938271604934</v>
      </c>
      <c r="BE10" s="137">
        <f>IF(ISNUMBER(BB10/BA10),BB10/BA10, " - ")</f>
        <v>1.0517241379310345</v>
      </c>
      <c r="BF10" s="137">
        <f>IF(ISNUMBER(BC10/BA10),BC10/BA10, " - ")</f>
        <v>0.25862068965517243</v>
      </c>
      <c r="BG10" s="209">
        <f>IF(ISNUMBER((AY10+AZ10)/BA10),(AY10+AZ10)/BA10," - ")</f>
        <v>2.0517241379310347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1042</v>
      </c>
      <c r="EP10" s="381"/>
      <c r="EQ10" s="381"/>
      <c r="ER10" s="1342">
        <v>1600</v>
      </c>
      <c r="ES10" s="381"/>
      <c r="ET10" s="1523"/>
      <c r="EU10" s="1523"/>
    </row>
    <row r="11" spans="1:151" ht="14.25" customHeight="1" thickBot="1">
      <c r="A11" s="20" t="s">
        <v>515</v>
      </c>
      <c r="B11" s="21" t="s">
        <v>514</v>
      </c>
      <c r="C11" s="22" t="s">
        <v>8</v>
      </c>
      <c r="D11" s="23" t="s">
        <v>25</v>
      </c>
      <c r="E11" s="21" t="s">
        <v>75</v>
      </c>
      <c r="F11" s="21">
        <v>32</v>
      </c>
      <c r="G11" s="6"/>
      <c r="H11" s="28" t="s">
        <v>49</v>
      </c>
      <c r="I11" s="195" t="s">
        <v>1095</v>
      </c>
      <c r="J11" s="196" t="s">
        <v>1076</v>
      </c>
      <c r="K11" s="196" t="s">
        <v>1096</v>
      </c>
      <c r="L11" s="196" t="s">
        <v>1115</v>
      </c>
      <c r="M11" s="196" t="s">
        <v>647</v>
      </c>
      <c r="N11" s="196" t="s">
        <v>663</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2" t="s">
        <v>1077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1078</v>
      </c>
      <c r="EP11" s="1337"/>
      <c r="EQ11" s="1337"/>
      <c r="ER11" s="1343">
        <v>1323</v>
      </c>
      <c r="ES11" s="1337"/>
      <c r="ET11" s="1523"/>
      <c r="EU11" s="1523"/>
    </row>
    <row r="12" spans="1:151" ht="14.25" customHeight="1">
      <c r="A12" s="20" t="s">
        <v>516</v>
      </c>
      <c r="B12" s="21" t="s">
        <v>514</v>
      </c>
      <c r="C12" s="22" t="s">
        <v>8</v>
      </c>
      <c r="D12" s="23" t="s">
        <v>25</v>
      </c>
      <c r="E12" s="21" t="s">
        <v>25</v>
      </c>
      <c r="F12" s="21">
        <v>31</v>
      </c>
      <c r="G12" s="6"/>
      <c r="H12" s="229"/>
      <c r="I12" s="195">
        <v>5432</v>
      </c>
      <c r="J12" s="196">
        <v>6747</v>
      </c>
      <c r="K12" s="196">
        <v>6271</v>
      </c>
      <c r="L12" s="196">
        <v>5822</v>
      </c>
      <c r="M12" s="196">
        <v>1406</v>
      </c>
      <c r="N12" s="196">
        <v>2549</v>
      </c>
      <c r="O12" s="194">
        <v>2264</v>
      </c>
      <c r="P12" s="196">
        <v>1163</v>
      </c>
      <c r="Q12" s="196">
        <v>1102</v>
      </c>
      <c r="R12" s="196">
        <v>6628</v>
      </c>
      <c r="S12" s="196">
        <v>4181</v>
      </c>
      <c r="T12" s="196">
        <v>5563</v>
      </c>
      <c r="U12" s="196">
        <v>4268</v>
      </c>
      <c r="V12" s="196">
        <v>5432</v>
      </c>
      <c r="W12" s="196">
        <v>1035</v>
      </c>
      <c r="X12" s="202">
        <v>1394</v>
      </c>
      <c r="Y12" s="204">
        <v>146</v>
      </c>
      <c r="Z12" s="194">
        <v>398</v>
      </c>
      <c r="AA12" s="194">
        <v>445</v>
      </c>
      <c r="AB12" s="194">
        <v>99</v>
      </c>
      <c r="AC12" s="196">
        <v>0</v>
      </c>
      <c r="AD12" s="196">
        <v>0</v>
      </c>
      <c r="AE12" s="196">
        <v>0</v>
      </c>
      <c r="AF12" s="202">
        <v>0</v>
      </c>
      <c r="AG12" s="215">
        <v>105</v>
      </c>
      <c r="AH12" s="196">
        <v>376</v>
      </c>
      <c r="AI12" s="196">
        <v>337</v>
      </c>
      <c r="AJ12" s="216">
        <v>146</v>
      </c>
      <c r="AK12" s="195">
        <v>0</v>
      </c>
      <c r="AL12" s="196">
        <v>0</v>
      </c>
      <c r="AM12" s="196">
        <v>0</v>
      </c>
      <c r="AN12" s="202">
        <v>0</v>
      </c>
      <c r="AO12" s="283">
        <v>7</v>
      </c>
      <c r="AP12" s="168">
        <v>7</v>
      </c>
      <c r="AQ12" s="168">
        <v>7</v>
      </c>
      <c r="AR12" s="167">
        <v>7</v>
      </c>
      <c r="AS12" s="382" t="s">
        <v>1079</v>
      </c>
      <c r="AT12" s="216"/>
      <c r="AU12" s="215"/>
      <c r="AV12" s="216"/>
      <c r="AW12" s="215"/>
      <c r="AX12" s="216"/>
      <c r="AY12" s="136">
        <f t="shared" si="1"/>
        <v>4286</v>
      </c>
      <c r="AZ12" s="137">
        <f t="shared" si="1"/>
        <v>5939</v>
      </c>
      <c r="BA12" s="137">
        <f t="shared" si="1"/>
        <v>4605</v>
      </c>
      <c r="BB12" s="137">
        <f t="shared" si="1"/>
        <v>5578</v>
      </c>
      <c r="BC12" s="135">
        <f>IF(ISNUMBER(X12),X12," - ")</f>
        <v>1394</v>
      </c>
      <c r="BD12" s="136">
        <f t="shared" si="2"/>
        <v>0.77538306112140087</v>
      </c>
      <c r="BE12" s="137">
        <f t="shared" si="3"/>
        <v>1.2112920738327904</v>
      </c>
      <c r="BF12" s="137">
        <f t="shared" si="4"/>
        <v>0.30271444082519</v>
      </c>
      <c r="BG12" s="209">
        <f t="shared" si="5"/>
        <v>2.220412595005429</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1080</v>
      </c>
      <c r="EP12" s="1338"/>
      <c r="EQ12" s="1338"/>
      <c r="ER12" s="1341">
        <v>680</v>
      </c>
      <c r="ES12" s="1338"/>
      <c r="ET12" s="1523"/>
      <c r="EU12" s="1523"/>
    </row>
    <row r="13" spans="1:151" ht="14.25" customHeight="1">
      <c r="A13" s="20" t="s">
        <v>139</v>
      </c>
      <c r="B13" s="21" t="s">
        <v>514</v>
      </c>
      <c r="C13" s="22" t="s">
        <v>8</v>
      </c>
      <c r="D13" s="23" t="s">
        <v>28</v>
      </c>
      <c r="E13" s="21" t="s">
        <v>28</v>
      </c>
      <c r="F13" s="21" t="s">
        <v>101</v>
      </c>
      <c r="G13" s="6"/>
      <c r="H13" s="229"/>
      <c r="I13" s="195" t="s">
        <v>135</v>
      </c>
      <c r="J13" s="196" t="s">
        <v>136</v>
      </c>
      <c r="K13" s="196" t="s">
        <v>137</v>
      </c>
      <c r="L13" s="196" t="s">
        <v>138</v>
      </c>
      <c r="M13" s="196" t="s">
        <v>134</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136</v>
      </c>
      <c r="EP13" s="1339"/>
      <c r="EQ13" s="1339"/>
      <c r="ER13" s="1343">
        <v>875</v>
      </c>
      <c r="ES13" s="1339"/>
      <c r="ET13" s="1523"/>
      <c r="EU13" s="1523"/>
    </row>
    <row r="14" spans="1:151" ht="14.25" customHeight="1" thickBot="1">
      <c r="A14" s="77" t="s">
        <v>5</v>
      </c>
      <c r="B14" s="78" t="s">
        <v>514</v>
      </c>
      <c r="C14" s="79" t="s">
        <v>9</v>
      </c>
      <c r="D14" s="80"/>
      <c r="E14" s="81"/>
      <c r="F14" s="81"/>
      <c r="G14" s="82"/>
      <c r="H14" s="83"/>
      <c r="I14" s="197">
        <f t="shared" ref="I14:AE14" si="7">SUBTOTAL(9,I8:I13)</f>
        <v>5493</v>
      </c>
      <c r="J14" s="197">
        <f t="shared" si="7"/>
        <v>6824</v>
      </c>
      <c r="K14" s="197">
        <f t="shared" si="7"/>
        <v>6341</v>
      </c>
      <c r="L14" s="197">
        <f t="shared" si="7"/>
        <v>5880</v>
      </c>
      <c r="M14" s="197">
        <f t="shared" si="7"/>
        <v>1442</v>
      </c>
      <c r="N14" s="197">
        <f t="shared" si="7"/>
        <v>2575</v>
      </c>
      <c r="O14" s="197">
        <f t="shared" si="7"/>
        <v>2270</v>
      </c>
      <c r="P14" s="197">
        <f t="shared" si="7"/>
        <v>1165</v>
      </c>
      <c r="Q14" s="197">
        <f t="shared" si="7"/>
        <v>1103</v>
      </c>
      <c r="R14" s="197">
        <f t="shared" si="7"/>
        <v>6644</v>
      </c>
      <c r="S14" s="197">
        <f t="shared" si="7"/>
        <v>4219</v>
      </c>
      <c r="T14" s="197">
        <f t="shared" si="7"/>
        <v>5644</v>
      </c>
      <c r="U14" s="197">
        <f t="shared" si="7"/>
        <v>4326</v>
      </c>
      <c r="V14" s="197">
        <f t="shared" si="7"/>
        <v>5493</v>
      </c>
      <c r="W14" s="197">
        <f t="shared" si="7"/>
        <v>1050</v>
      </c>
      <c r="X14" s="197">
        <f t="shared" si="7"/>
        <v>1425</v>
      </c>
      <c r="Y14" s="197">
        <f t="shared" si="7"/>
        <v>146</v>
      </c>
      <c r="Z14" s="197">
        <f t="shared" si="7"/>
        <v>398</v>
      </c>
      <c r="AA14" s="197">
        <f t="shared" si="7"/>
        <v>445</v>
      </c>
      <c r="AB14" s="197">
        <f t="shared" si="7"/>
        <v>99</v>
      </c>
      <c r="AC14" s="197">
        <f t="shared" si="7"/>
        <v>0</v>
      </c>
      <c r="AD14" s="197">
        <f t="shared" si="7"/>
        <v>0</v>
      </c>
      <c r="AE14" s="197">
        <f t="shared" si="7"/>
        <v>0</v>
      </c>
      <c r="AF14" s="197">
        <f>SUBTOTAL(9,AF9:AF13)</f>
        <v>0</v>
      </c>
      <c r="AG14" s="197">
        <f t="shared" ref="AG14:AT14" si="8">SUBTOTAL(9,AG8:AG13)</f>
        <v>105</v>
      </c>
      <c r="AH14" s="197">
        <f t="shared" si="8"/>
        <v>376</v>
      </c>
      <c r="AI14" s="197">
        <f t="shared" si="8"/>
        <v>337</v>
      </c>
      <c r="AJ14" s="197">
        <f t="shared" si="8"/>
        <v>146</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4324</v>
      </c>
      <c r="AZ14" s="197">
        <f>SUBTOTAL(9,AZ8:AZ13)</f>
        <v>6020</v>
      </c>
      <c r="BA14" s="197">
        <f>SUBTOTAL(9,BA8:BA13)</f>
        <v>4663</v>
      </c>
      <c r="BB14" s="197">
        <f>SUBTOTAL(9,BB8:BB13)</f>
        <v>5639</v>
      </c>
      <c r="BC14" s="197">
        <f>SUBTOTAL(9,BC8:BC13)</f>
        <v>1409</v>
      </c>
      <c r="BD14" s="219">
        <f>IF(ISNUMBER(BA14/AZ14),BA14/AZ14," - ")</f>
        <v>0.77458471760797343</v>
      </c>
      <c r="BE14" s="220">
        <f>IF(ISNUMBER(BB14/BA14),BB14/BA14, " - ")</f>
        <v>1.2093073128886982</v>
      </c>
      <c r="BF14" s="220">
        <f>IF(ISNUMBER(BC14/BA14),BC14/BA14, " - ")</f>
        <v>0.30216598756165558</v>
      </c>
      <c r="BG14" s="221">
        <f>IF(ISNUMBER((AY14+AZ14)/BA14),(AY14+AZ14)/BA14," - ")</f>
        <v>2.2183143898777611</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141</v>
      </c>
      <c r="B15" s="85" t="s">
        <v>514</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517</v>
      </c>
      <c r="B16" s="21" t="s">
        <v>514</v>
      </c>
      <c r="C16" s="22" t="s">
        <v>8</v>
      </c>
      <c r="D16" s="23" t="s">
        <v>25</v>
      </c>
      <c r="E16" s="21" t="s">
        <v>27</v>
      </c>
      <c r="F16" s="21">
        <v>33</v>
      </c>
      <c r="G16" s="6"/>
      <c r="H16" s="24"/>
      <c r="I16" s="195" t="s">
        <v>645</v>
      </c>
      <c r="J16" s="196" t="s">
        <v>641</v>
      </c>
      <c r="K16" s="196" t="s">
        <v>642</v>
      </c>
      <c r="L16" s="196" t="s">
        <v>643</v>
      </c>
      <c r="M16" s="196" t="s">
        <v>649</v>
      </c>
      <c r="N16" s="196" t="s">
        <v>196</v>
      </c>
      <c r="O16" s="194" t="s">
        <v>283</v>
      </c>
      <c r="P16" s="196" t="s">
        <v>627</v>
      </c>
      <c r="Q16" s="196" t="s">
        <v>628</v>
      </c>
      <c r="R16" s="196" t="s">
        <v>629</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2" t="s">
        <v>698</v>
      </c>
      <c r="AT16" s="216" t="s">
        <v>419</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1081</v>
      </c>
      <c r="EP16" s="1337"/>
      <c r="EQ16" s="1337"/>
      <c r="ER16" s="1343">
        <v>3300</v>
      </c>
      <c r="ES16" s="1337"/>
      <c r="ET16" s="1523"/>
      <c r="EU16" s="1523"/>
    </row>
    <row r="17" spans="1:151" ht="14.25" customHeight="1">
      <c r="A17" s="7" t="s">
        <v>516</v>
      </c>
      <c r="B17" s="21" t="s">
        <v>514</v>
      </c>
      <c r="C17" s="22" t="s">
        <v>8</v>
      </c>
      <c r="D17" s="23" t="s">
        <v>25</v>
      </c>
      <c r="E17" s="21" t="s">
        <v>25</v>
      </c>
      <c r="F17" s="21">
        <v>31</v>
      </c>
      <c r="G17" s="6"/>
      <c r="H17" s="24"/>
      <c r="I17" s="195">
        <v>1846</v>
      </c>
      <c r="J17" s="196">
        <v>6373</v>
      </c>
      <c r="K17" s="196">
        <v>6224</v>
      </c>
      <c r="L17" s="196">
        <v>2013</v>
      </c>
      <c r="M17" s="196">
        <v>912</v>
      </c>
      <c r="N17" s="196">
        <v>4349</v>
      </c>
      <c r="O17" s="194">
        <v>76</v>
      </c>
      <c r="P17" s="196">
        <v>338</v>
      </c>
      <c r="Q17" s="196">
        <v>213</v>
      </c>
      <c r="R17" s="196">
        <v>588</v>
      </c>
      <c r="S17" s="196">
        <v>1361</v>
      </c>
      <c r="T17" s="196">
        <v>7106</v>
      </c>
      <c r="U17" s="196">
        <v>6625</v>
      </c>
      <c r="V17" s="196">
        <v>1846</v>
      </c>
      <c r="W17" s="196">
        <v>812</v>
      </c>
      <c r="X17" s="202">
        <v>4018</v>
      </c>
      <c r="Y17" s="215">
        <v>0</v>
      </c>
      <c r="Z17" s="196">
        <v>0</v>
      </c>
      <c r="AA17" s="196">
        <v>0</v>
      </c>
      <c r="AB17" s="196">
        <v>0</v>
      </c>
      <c r="AC17" s="196">
        <v>8</v>
      </c>
      <c r="AD17" s="196">
        <v>55</v>
      </c>
      <c r="AE17" s="196">
        <v>53</v>
      </c>
      <c r="AF17" s="202">
        <v>10</v>
      </c>
      <c r="AG17" s="215">
        <v>0</v>
      </c>
      <c r="AH17" s="196">
        <v>0</v>
      </c>
      <c r="AI17" s="196">
        <v>0</v>
      </c>
      <c r="AJ17" s="216">
        <v>0</v>
      </c>
      <c r="AK17" s="195">
        <v>2</v>
      </c>
      <c r="AL17" s="196">
        <v>18</v>
      </c>
      <c r="AM17" s="196">
        <v>12</v>
      </c>
      <c r="AN17" s="202">
        <v>8</v>
      </c>
      <c r="AO17" s="283">
        <v>7</v>
      </c>
      <c r="AP17" s="168">
        <v>7</v>
      </c>
      <c r="AQ17" s="168">
        <v>7</v>
      </c>
      <c r="AR17" s="168">
        <v>7</v>
      </c>
      <c r="AS17" s="382" t="s">
        <v>644</v>
      </c>
      <c r="AT17" s="216"/>
      <c r="AU17" s="215"/>
      <c r="AV17" s="216"/>
      <c r="AW17" s="215"/>
      <c r="AX17" s="216"/>
      <c r="AY17" s="136">
        <f t="shared" si="10"/>
        <v>1361</v>
      </c>
      <c r="AZ17" s="137">
        <f t="shared" si="10"/>
        <v>7106</v>
      </c>
      <c r="BA17" s="137">
        <f t="shared" si="10"/>
        <v>6625</v>
      </c>
      <c r="BB17" s="137">
        <f t="shared" si="10"/>
        <v>1846</v>
      </c>
      <c r="BC17" s="135">
        <f>IF(ISNUMBER(W17),W17," - ")</f>
        <v>812</v>
      </c>
      <c r="BD17" s="136">
        <f t="shared" ref="BD17:BD22" si="12">IF(ISNUMBER(BA17/AZ17),BA17/AZ17," - ")</f>
        <v>0.93231072333239517</v>
      </c>
      <c r="BE17" s="137">
        <f t="shared" ref="BE17:BE22" si="13">IF(ISNUMBER(BB17/BA17),BB17/BA17, " - ")</f>
        <v>0.27864150943396226</v>
      </c>
      <c r="BF17" s="137">
        <f t="shared" ref="BF17:BF22" si="14">IF(ISNUMBER(BC17/BA17),BC17/BA17, " - ")</f>
        <v>0.12256603773584905</v>
      </c>
      <c r="BG17" s="209">
        <f t="shared" si="11"/>
        <v>1.2780377358490567</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1048</v>
      </c>
      <c r="EP17" s="1337"/>
      <c r="EQ17" s="1337"/>
      <c r="ER17" s="1343">
        <v>1000</v>
      </c>
      <c r="ES17" s="1337"/>
      <c r="ET17" s="1523"/>
      <c r="EU17" s="1523"/>
    </row>
    <row r="18" spans="1:151" ht="14.25" customHeight="1">
      <c r="A18" s="7" t="s">
        <v>184</v>
      </c>
      <c r="B18" s="21" t="s">
        <v>514</v>
      </c>
      <c r="C18" s="22" t="s">
        <v>8</v>
      </c>
      <c r="D18" s="23" t="s">
        <v>111</v>
      </c>
      <c r="E18" s="21" t="s">
        <v>111</v>
      </c>
      <c r="F18" s="21" t="s">
        <v>179</v>
      </c>
      <c r="G18" s="6"/>
      <c r="H18" s="24"/>
      <c r="I18" s="195">
        <v>87</v>
      </c>
      <c r="J18" s="196">
        <v>741</v>
      </c>
      <c r="K18" s="196">
        <v>790</v>
      </c>
      <c r="L18" s="196">
        <v>58</v>
      </c>
      <c r="M18" s="196">
        <v>206</v>
      </c>
      <c r="N18" s="196">
        <v>396</v>
      </c>
      <c r="O18" s="196">
        <v>38</v>
      </c>
      <c r="P18" s="196">
        <v>61</v>
      </c>
      <c r="Q18" s="196">
        <v>59</v>
      </c>
      <c r="R18" s="196">
        <v>27</v>
      </c>
      <c r="S18" s="196">
        <v>59</v>
      </c>
      <c r="T18" s="196">
        <v>722</v>
      </c>
      <c r="U18" s="196">
        <v>707</v>
      </c>
      <c r="V18" s="196">
        <v>87</v>
      </c>
      <c r="W18" s="196">
        <v>144</v>
      </c>
      <c r="X18" s="202">
        <v>451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1067</v>
      </c>
      <c r="AT18" s="223"/>
      <c r="AU18" s="213"/>
      <c r="AV18" s="223"/>
      <c r="AW18" s="213"/>
      <c r="AX18" s="223"/>
      <c r="AY18" s="138">
        <f t="shared" ref="AY18:BB19" si="15">IF(ISNUMBER(S18),S18," - ")</f>
        <v>59</v>
      </c>
      <c r="AZ18" s="139">
        <f t="shared" si="15"/>
        <v>722</v>
      </c>
      <c r="BA18" s="139">
        <f t="shared" si="15"/>
        <v>707</v>
      </c>
      <c r="BB18" s="139">
        <f t="shared" si="15"/>
        <v>87</v>
      </c>
      <c r="BC18" s="135">
        <f>IF(ISNUMBER(W18),W18," - ")</f>
        <v>144</v>
      </c>
      <c r="BD18" s="136">
        <f>IF(ISNUMBER(BA18/AZ18),BA18/AZ18," - ")</f>
        <v>0.97922437673130192</v>
      </c>
      <c r="BE18" s="137">
        <f>IF(ISNUMBER(BB18/BA18),BB18/BA18, " - ")</f>
        <v>0.12305516265912306</v>
      </c>
      <c r="BF18" s="137">
        <f>IF(ISNUMBER(BC18/BA18),BC18/BA18, " - ")</f>
        <v>0.20367751060820369</v>
      </c>
      <c r="BG18" s="209">
        <f>IF(ISNUMBER((AY18+AZ18)/BA18),(AY18+AZ18)/BA18," - ")</f>
        <v>1.1046676096181047</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1049</v>
      </c>
      <c r="EP18" s="381"/>
      <c r="EQ18" s="381"/>
      <c r="ER18" s="1342">
        <v>1600</v>
      </c>
      <c r="ES18" s="381"/>
      <c r="ET18" s="1523"/>
      <c r="EU18" s="1523"/>
    </row>
    <row r="19" spans="1:151" ht="14.25" customHeight="1">
      <c r="A19" s="7" t="s">
        <v>518</v>
      </c>
      <c r="B19" s="21" t="s">
        <v>514</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425</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1021</v>
      </c>
      <c r="EP19" s="1337"/>
      <c r="EQ19" s="1337"/>
      <c r="ER19" s="1343">
        <v>875</v>
      </c>
      <c r="ES19" s="1337"/>
      <c r="ET19" s="1523"/>
      <c r="EU19" s="1523"/>
    </row>
    <row r="20" spans="1:151" ht="13.9" customHeight="1">
      <c r="A20" s="7" t="s">
        <v>519</v>
      </c>
      <c r="B20" s="21" t="s">
        <v>514</v>
      </c>
      <c r="C20" s="22" t="s">
        <v>8</v>
      </c>
      <c r="D20" s="23" t="s">
        <v>29</v>
      </c>
      <c r="E20" s="21" t="s">
        <v>29</v>
      </c>
      <c r="F20" s="21">
        <v>25</v>
      </c>
      <c r="G20" s="6"/>
      <c r="H20" s="24"/>
      <c r="I20" s="195" t="s">
        <v>65</v>
      </c>
      <c r="J20" s="196" t="s">
        <v>66</v>
      </c>
      <c r="K20" s="196" t="s">
        <v>114</v>
      </c>
      <c r="L20" s="196" t="s">
        <v>67</v>
      </c>
      <c r="M20" s="196" t="s">
        <v>118</v>
      </c>
      <c r="N20" s="538" t="s">
        <v>621</v>
      </c>
      <c r="O20" s="538" t="s">
        <v>622</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66</v>
      </c>
      <c r="EP20" s="538"/>
      <c r="EQ20" s="538"/>
      <c r="ER20" s="1326">
        <v>5240</v>
      </c>
      <c r="ES20" s="538"/>
      <c r="ET20" s="1523"/>
      <c r="EU20" s="1523"/>
    </row>
    <row r="21" spans="1:151" ht="14.25" customHeight="1">
      <c r="A21" s="7" t="s">
        <v>520</v>
      </c>
      <c r="B21" s="21" t="s">
        <v>514</v>
      </c>
      <c r="C21" s="22" t="s">
        <v>8</v>
      </c>
      <c r="D21" s="23" t="s">
        <v>30</v>
      </c>
      <c r="E21" s="21" t="s">
        <v>30</v>
      </c>
      <c r="F21" s="21">
        <v>22</v>
      </c>
      <c r="G21" s="6"/>
      <c r="H21" s="28" t="s">
        <v>50</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410</v>
      </c>
      <c r="CO21" s="170">
        <v>450</v>
      </c>
      <c r="CP21" s="186" t="s">
        <v>410</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1033</v>
      </c>
      <c r="EP21" s="382"/>
      <c r="EQ21" s="382"/>
      <c r="ER21" s="1345" t="s">
        <v>1016</v>
      </c>
      <c r="ES21" s="382"/>
      <c r="ET21" s="1523"/>
      <c r="EU21" s="1523"/>
    </row>
    <row r="22" spans="1:151" ht="14.25" customHeight="1">
      <c r="A22" s="7" t="s">
        <v>521</v>
      </c>
      <c r="B22" s="21" t="s">
        <v>514</v>
      </c>
      <c r="C22" s="22" t="s">
        <v>8</v>
      </c>
      <c r="D22" s="23" t="s">
        <v>30</v>
      </c>
      <c r="E22" s="21">
        <v>10</v>
      </c>
      <c r="F22" s="21">
        <v>22</v>
      </c>
      <c r="G22" s="6"/>
      <c r="H22" s="28" t="s">
        <v>50</v>
      </c>
      <c r="I22" s="196" t="s">
        <v>118</v>
      </c>
      <c r="J22" s="196" t="s">
        <v>118</v>
      </c>
      <c r="K22" s="196" t="s">
        <v>118</v>
      </c>
      <c r="L22" s="196" t="s">
        <v>118</v>
      </c>
      <c r="M22" s="196" t="s">
        <v>118</v>
      </c>
      <c r="N22" s="196" t="s">
        <v>623</v>
      </c>
      <c r="O22" s="196" t="s">
        <v>296</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428</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1024</v>
      </c>
      <c r="EP22" s="382"/>
      <c r="EQ22" s="382"/>
      <c r="ER22" s="1343">
        <v>2400</v>
      </c>
      <c r="ES22" s="382"/>
      <c r="ET22" s="1523"/>
      <c r="EU22" s="1523"/>
    </row>
    <row r="23" spans="1:151" ht="14.25" customHeight="1" thickBot="1">
      <c r="A23" s="77" t="s">
        <v>5</v>
      </c>
      <c r="B23" s="78" t="s">
        <v>514</v>
      </c>
      <c r="C23" s="79" t="s">
        <v>9</v>
      </c>
      <c r="D23" s="80"/>
      <c r="E23" s="81"/>
      <c r="F23" s="81"/>
      <c r="G23" s="82"/>
      <c r="H23" s="83"/>
      <c r="I23" s="197">
        <f t="shared" ref="I23:AT23" si="21">SUBTOTAL(9,I15:I22)</f>
        <v>1933</v>
      </c>
      <c r="J23" s="197">
        <f t="shared" si="21"/>
        <v>7114</v>
      </c>
      <c r="K23" s="197">
        <f t="shared" si="21"/>
        <v>7014</v>
      </c>
      <c r="L23" s="197">
        <f t="shared" si="21"/>
        <v>2071</v>
      </c>
      <c r="M23" s="197">
        <f t="shared" si="21"/>
        <v>1118</v>
      </c>
      <c r="N23" s="197">
        <f t="shared" si="21"/>
        <v>4745</v>
      </c>
      <c r="O23" s="197">
        <f t="shared" si="21"/>
        <v>114</v>
      </c>
      <c r="P23" s="197">
        <f t="shared" si="21"/>
        <v>399</v>
      </c>
      <c r="Q23" s="197">
        <f t="shared" si="21"/>
        <v>272</v>
      </c>
      <c r="R23" s="197">
        <f t="shared" si="21"/>
        <v>615</v>
      </c>
      <c r="S23" s="197">
        <f t="shared" si="21"/>
        <v>1420</v>
      </c>
      <c r="T23" s="197">
        <f t="shared" si="21"/>
        <v>7828</v>
      </c>
      <c r="U23" s="197">
        <f t="shared" si="21"/>
        <v>7332</v>
      </c>
      <c r="V23" s="197">
        <f t="shared" si="21"/>
        <v>1933</v>
      </c>
      <c r="W23" s="197">
        <f t="shared" si="21"/>
        <v>956</v>
      </c>
      <c r="X23" s="197">
        <f t="shared" si="21"/>
        <v>4469</v>
      </c>
      <c r="Y23" s="197">
        <f t="shared" si="21"/>
        <v>0</v>
      </c>
      <c r="Z23" s="197">
        <f t="shared" si="21"/>
        <v>0</v>
      </c>
      <c r="AA23" s="197">
        <f t="shared" si="21"/>
        <v>0</v>
      </c>
      <c r="AB23" s="197">
        <f t="shared" si="21"/>
        <v>0</v>
      </c>
      <c r="AC23" s="197">
        <f t="shared" si="21"/>
        <v>8</v>
      </c>
      <c r="AD23" s="197">
        <f t="shared" si="21"/>
        <v>55</v>
      </c>
      <c r="AE23" s="197">
        <f t="shared" si="21"/>
        <v>53</v>
      </c>
      <c r="AF23" s="197">
        <f t="shared" si="21"/>
        <v>10</v>
      </c>
      <c r="AG23" s="197">
        <f t="shared" si="21"/>
        <v>0</v>
      </c>
      <c r="AH23" s="197">
        <f t="shared" si="21"/>
        <v>0</v>
      </c>
      <c r="AI23" s="197">
        <f t="shared" si="21"/>
        <v>0</v>
      </c>
      <c r="AJ23" s="197">
        <f t="shared" si="21"/>
        <v>0</v>
      </c>
      <c r="AK23" s="197">
        <f t="shared" si="21"/>
        <v>2</v>
      </c>
      <c r="AL23" s="197">
        <f t="shared" si="21"/>
        <v>18</v>
      </c>
      <c r="AM23" s="197">
        <f t="shared" si="21"/>
        <v>12</v>
      </c>
      <c r="AN23" s="197">
        <f t="shared" si="21"/>
        <v>8</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1420</v>
      </c>
      <c r="AZ23" s="197">
        <f>SUBTOTAL(9,AZ15:AZ22)</f>
        <v>7828</v>
      </c>
      <c r="BA23" s="197">
        <f>SUBTOTAL(9,BA15:BA22)</f>
        <v>7332</v>
      </c>
      <c r="BB23" s="197">
        <f>SUBTOTAL(9,BB15:BB22)</f>
        <v>1933</v>
      </c>
      <c r="BC23" s="197">
        <f>SUBTOTAL(9,BC15:BC22)</f>
        <v>956</v>
      </c>
      <c r="BD23" s="219">
        <f>IF(ISNUMBER(BA23/AZ23),BA23/AZ23," - ")</f>
        <v>0.93663771078180891</v>
      </c>
      <c r="BE23" s="220">
        <f>IF(ISNUMBER(BB23/BA23),BB23/BA23, " - ")</f>
        <v>0.26363884342607746</v>
      </c>
      <c r="BF23" s="220">
        <f>IF(ISNUMBER(BC23/BA23),BC23/BA23, " - ")</f>
        <v>0.13038734315330061</v>
      </c>
      <c r="BG23" s="221">
        <f>IF(ISNUMBER((AY23+AZ23)/BA23),(AY23+AZ23)/BA23," - ")</f>
        <v>1.2613202400436443</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514</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514</v>
      </c>
      <c r="C25" s="22" t="s">
        <v>8</v>
      </c>
      <c r="D25" s="23">
        <v>30</v>
      </c>
      <c r="E25" s="21">
        <v>30</v>
      </c>
      <c r="F25" s="21">
        <v>23</v>
      </c>
      <c r="G25" s="6"/>
      <c r="H25" s="24"/>
      <c r="I25" s="195" t="s">
        <v>76</v>
      </c>
      <c r="J25" s="196" t="s">
        <v>77</v>
      </c>
      <c r="K25" s="196" t="s">
        <v>79</v>
      </c>
      <c r="L25" s="196" t="s">
        <v>78</v>
      </c>
      <c r="M25" s="196" t="s">
        <v>80</v>
      </c>
      <c r="N25" s="196" t="s">
        <v>620</v>
      </c>
      <c r="O25" s="196" t="s">
        <v>292</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77</v>
      </c>
      <c r="EP25" s="382"/>
      <c r="EQ25" s="382"/>
      <c r="ER25" s="1343">
        <v>570</v>
      </c>
      <c r="ES25" s="382"/>
      <c r="ET25" s="1523"/>
      <c r="EU25" s="1523"/>
    </row>
    <row r="26" spans="1:151" ht="14.25" customHeight="1" thickBot="1">
      <c r="A26" s="77" t="s">
        <v>5</v>
      </c>
      <c r="B26" s="78" t="s">
        <v>514</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514</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514</v>
      </c>
      <c r="C28" s="22" t="s">
        <v>8</v>
      </c>
      <c r="D28" s="23" t="s">
        <v>31</v>
      </c>
      <c r="E28" s="21" t="s">
        <v>31</v>
      </c>
      <c r="F28" s="21">
        <v>24</v>
      </c>
      <c r="G28" s="6"/>
      <c r="H28" s="30" t="s">
        <v>51</v>
      </c>
      <c r="I28" s="195">
        <v>90</v>
      </c>
      <c r="J28" s="196">
        <v>631</v>
      </c>
      <c r="K28" s="196">
        <v>613</v>
      </c>
      <c r="L28" s="196">
        <v>118</v>
      </c>
      <c r="M28" s="196">
        <v>260</v>
      </c>
      <c r="N28" s="196">
        <v>101</v>
      </c>
      <c r="O28" s="196">
        <v>424</v>
      </c>
      <c r="P28" s="196">
        <v>125</v>
      </c>
      <c r="Q28" s="196">
        <v>155</v>
      </c>
      <c r="R28" s="196">
        <v>20</v>
      </c>
      <c r="S28" s="196">
        <v>145</v>
      </c>
      <c r="T28" s="196">
        <v>626</v>
      </c>
      <c r="U28" s="196">
        <v>640</v>
      </c>
      <c r="V28" s="196">
        <v>90</v>
      </c>
      <c r="W28" s="196">
        <v>251</v>
      </c>
      <c r="X28" s="202">
        <v>150</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2" t="s">
        <v>200</v>
      </c>
      <c r="AT28" s="216"/>
      <c r="AU28" s="215"/>
      <c r="AV28" s="216"/>
      <c r="AW28" s="215"/>
      <c r="AX28" s="216"/>
      <c r="AY28" s="138">
        <f t="shared" ref="AY28:BC29" si="30">IF(ISNUMBER(S28),S28," - ")</f>
        <v>145</v>
      </c>
      <c r="AZ28" s="139">
        <f t="shared" si="30"/>
        <v>626</v>
      </c>
      <c r="BA28" s="139">
        <f t="shared" si="30"/>
        <v>640</v>
      </c>
      <c r="BB28" s="139">
        <f t="shared" si="30"/>
        <v>90</v>
      </c>
      <c r="BC28" s="135">
        <f t="shared" si="30"/>
        <v>251</v>
      </c>
      <c r="BD28" s="136">
        <f t="shared" ref="BD28:BD30" si="31">IF(ISNUMBER(BA28/AZ28),BA28/AZ28," - ")</f>
        <v>1.0223642172523961</v>
      </c>
      <c r="BE28" s="137">
        <f t="shared" ref="BE28:BE30" si="32">IF(ISNUMBER(BB28/BA28),BB28/BA28, " - ")</f>
        <v>0.140625</v>
      </c>
      <c r="BF28" s="137">
        <f t="shared" ref="BF28:BF30" si="33">IF(ISNUMBER(BC28/BA28),BC28/BA28, " - ")</f>
        <v>0.39218750000000002</v>
      </c>
      <c r="BG28" s="209">
        <f t="shared" ref="BG28:BG30" si="34">IF(ISNUMBER((AY28+AZ28)/BA28),(AY28+AZ28)/BA28," - ")</f>
        <v>1.2046874999999999</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409</v>
      </c>
      <c r="CO28" s="170">
        <v>850</v>
      </c>
      <c r="CP28" s="186" t="s">
        <v>409</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1012</v>
      </c>
      <c r="EP28" s="1340"/>
      <c r="EQ28" s="1340"/>
      <c r="ER28" s="1345" t="s">
        <v>1015</v>
      </c>
      <c r="ES28" s="1340"/>
      <c r="ET28" s="1523"/>
      <c r="EU28" s="1523"/>
    </row>
    <row r="29" spans="1:151" ht="14.25" customHeight="1">
      <c r="A29" s="7" t="s">
        <v>4</v>
      </c>
      <c r="B29" s="21" t="s">
        <v>514</v>
      </c>
      <c r="C29" s="22" t="s">
        <v>8</v>
      </c>
      <c r="D29" s="23" t="s">
        <v>31</v>
      </c>
      <c r="E29" s="21" t="s">
        <v>32</v>
      </c>
      <c r="F29" s="21">
        <v>24</v>
      </c>
      <c r="G29" s="6"/>
      <c r="H29" s="30" t="s">
        <v>51</v>
      </c>
      <c r="I29" s="196" t="s">
        <v>118</v>
      </c>
      <c r="J29" s="196" t="s">
        <v>118</v>
      </c>
      <c r="K29" s="196" t="s">
        <v>118</v>
      </c>
      <c r="L29" s="196" t="s">
        <v>118</v>
      </c>
      <c r="M29" s="196" t="s">
        <v>118</v>
      </c>
      <c r="N29" s="196" t="s">
        <v>703</v>
      </c>
      <c r="O29" s="196" t="s">
        <v>297</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429</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1036</v>
      </c>
      <c r="EP29" s="1337"/>
      <c r="EQ29" s="1337"/>
      <c r="ER29" s="1343">
        <v>3500</v>
      </c>
      <c r="ES29" s="1337"/>
      <c r="ET29" s="1523"/>
      <c r="EU29" s="1523"/>
    </row>
    <row r="30" spans="1:151" ht="14.25" customHeight="1" thickBot="1">
      <c r="A30" s="77" t="s">
        <v>5</v>
      </c>
      <c r="B30" s="78" t="s">
        <v>514</v>
      </c>
      <c r="C30" s="79" t="s">
        <v>9</v>
      </c>
      <c r="D30" s="80"/>
      <c r="E30" s="81"/>
      <c r="F30" s="81"/>
      <c r="G30" s="82"/>
      <c r="H30" s="83"/>
      <c r="I30" s="197">
        <f t="shared" ref="I30:AO30" si="35">SUBTOTAL(9,I28:I29)</f>
        <v>90</v>
      </c>
      <c r="J30" s="197">
        <f t="shared" si="35"/>
        <v>631</v>
      </c>
      <c r="K30" s="197">
        <f t="shared" si="35"/>
        <v>613</v>
      </c>
      <c r="L30" s="197">
        <f t="shared" si="35"/>
        <v>118</v>
      </c>
      <c r="M30" s="197">
        <f t="shared" si="35"/>
        <v>260</v>
      </c>
      <c r="N30" s="197">
        <f t="shared" si="35"/>
        <v>101</v>
      </c>
      <c r="O30" s="197">
        <f t="shared" si="35"/>
        <v>424</v>
      </c>
      <c r="P30" s="197">
        <f t="shared" si="35"/>
        <v>125</v>
      </c>
      <c r="Q30" s="197">
        <f t="shared" si="35"/>
        <v>155</v>
      </c>
      <c r="R30" s="197">
        <f t="shared" si="35"/>
        <v>20</v>
      </c>
      <c r="S30" s="197">
        <f t="shared" si="35"/>
        <v>145</v>
      </c>
      <c r="T30" s="197">
        <f t="shared" si="35"/>
        <v>626</v>
      </c>
      <c r="U30" s="197">
        <f t="shared" si="35"/>
        <v>640</v>
      </c>
      <c r="V30" s="197">
        <f t="shared" si="35"/>
        <v>90</v>
      </c>
      <c r="W30" s="197">
        <f t="shared" si="35"/>
        <v>251</v>
      </c>
      <c r="X30" s="141">
        <f t="shared" si="35"/>
        <v>150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3">
        <f>SUBTOTAL(9,AS25:AS25)</f>
        <v>0</v>
      </c>
      <c r="AT30" s="142"/>
      <c r="AU30" s="217"/>
      <c r="AV30" s="142"/>
      <c r="AW30" s="217"/>
      <c r="AX30" s="142"/>
      <c r="AY30" s="140">
        <f>SUBTOTAL(9,AY28:AY29)</f>
        <v>145</v>
      </c>
      <c r="AZ30" s="141">
        <f>SUBTOTAL(9,AZ28:AZ29)</f>
        <v>626</v>
      </c>
      <c r="BA30" s="141">
        <f>SUBTOTAL(9,BA28:BA29)</f>
        <v>640</v>
      </c>
      <c r="BB30" s="141">
        <f>SUBTOTAL(9,BB28:BB29)</f>
        <v>90</v>
      </c>
      <c r="BC30" s="142">
        <f>SUBTOTAL(9,BC28:BC29)</f>
        <v>251</v>
      </c>
      <c r="BD30" s="140">
        <f t="shared" si="31"/>
        <v>1.0223642172523961</v>
      </c>
      <c r="BE30" s="141">
        <f t="shared" si="32"/>
        <v>0.140625</v>
      </c>
      <c r="BF30" s="141">
        <f t="shared" si="33"/>
        <v>0.39218750000000002</v>
      </c>
      <c r="BG30" s="142">
        <f t="shared" si="34"/>
        <v>1.2046874999999999</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38</v>
      </c>
      <c r="D31" s="99"/>
      <c r="E31" s="97"/>
      <c r="F31" s="97"/>
      <c r="G31" s="100"/>
      <c r="H31" s="101"/>
      <c r="I31" s="144">
        <f t="shared" ref="I31:AT31" si="36">SUBTOTAL(9,I9:I30)</f>
        <v>7516</v>
      </c>
      <c r="J31" s="144">
        <f t="shared" si="36"/>
        <v>14569</v>
      </c>
      <c r="K31" s="144">
        <f t="shared" si="36"/>
        <v>13968</v>
      </c>
      <c r="L31" s="144">
        <f t="shared" si="36"/>
        <v>8069</v>
      </c>
      <c r="M31" s="144">
        <f t="shared" si="36"/>
        <v>2820</v>
      </c>
      <c r="N31" s="144">
        <f t="shared" si="36"/>
        <v>7421</v>
      </c>
      <c r="O31" s="144">
        <f t="shared" si="36"/>
        <v>2808</v>
      </c>
      <c r="P31" s="144">
        <f t="shared" si="36"/>
        <v>1689</v>
      </c>
      <c r="Q31" s="144">
        <f t="shared" si="36"/>
        <v>1530</v>
      </c>
      <c r="R31" s="144">
        <f t="shared" si="36"/>
        <v>7279</v>
      </c>
      <c r="S31" s="144">
        <f t="shared" si="36"/>
        <v>5784</v>
      </c>
      <c r="T31" s="144">
        <f t="shared" si="36"/>
        <v>14098</v>
      </c>
      <c r="U31" s="144">
        <f t="shared" si="36"/>
        <v>12298</v>
      </c>
      <c r="V31" s="144">
        <f t="shared" si="36"/>
        <v>7516</v>
      </c>
      <c r="W31" s="144">
        <f t="shared" si="36"/>
        <v>2257</v>
      </c>
      <c r="X31" s="144">
        <f t="shared" si="36"/>
        <v>6044</v>
      </c>
      <c r="Y31" s="144">
        <f t="shared" si="36"/>
        <v>146</v>
      </c>
      <c r="Z31" s="144">
        <f t="shared" si="36"/>
        <v>398</v>
      </c>
      <c r="AA31" s="144">
        <f t="shared" si="36"/>
        <v>445</v>
      </c>
      <c r="AB31" s="144">
        <f t="shared" si="36"/>
        <v>99</v>
      </c>
      <c r="AC31" s="144">
        <f t="shared" si="36"/>
        <v>8</v>
      </c>
      <c r="AD31" s="144">
        <f t="shared" si="36"/>
        <v>55</v>
      </c>
      <c r="AE31" s="144">
        <f t="shared" si="36"/>
        <v>53</v>
      </c>
      <c r="AF31" s="144">
        <f t="shared" si="36"/>
        <v>10</v>
      </c>
      <c r="AG31" s="144">
        <f t="shared" si="36"/>
        <v>105</v>
      </c>
      <c r="AH31" s="144">
        <f t="shared" si="36"/>
        <v>376</v>
      </c>
      <c r="AI31" s="144">
        <f t="shared" si="36"/>
        <v>337</v>
      </c>
      <c r="AJ31" s="144">
        <f t="shared" si="36"/>
        <v>146</v>
      </c>
      <c r="AK31" s="144">
        <f t="shared" si="36"/>
        <v>2</v>
      </c>
      <c r="AL31" s="144">
        <f t="shared" si="36"/>
        <v>18</v>
      </c>
      <c r="AM31" s="144">
        <f t="shared" si="36"/>
        <v>12</v>
      </c>
      <c r="AN31" s="224">
        <f t="shared" si="36"/>
        <v>8</v>
      </c>
      <c r="AO31" s="225">
        <v>9</v>
      </c>
      <c r="AP31" s="225">
        <v>8</v>
      </c>
      <c r="AQ31" s="225">
        <v>8</v>
      </c>
      <c r="AR31" s="225">
        <v>8</v>
      </c>
      <c r="AS31" s="166">
        <f t="shared" si="36"/>
        <v>0</v>
      </c>
      <c r="AT31" s="166">
        <f t="shared" si="36"/>
        <v>0</v>
      </c>
      <c r="AU31" s="225"/>
      <c r="AV31" s="226"/>
      <c r="AW31" s="225"/>
      <c r="AX31" s="226"/>
      <c r="AY31" s="143">
        <f>SUBTOTAL(9,AY9:AY30)</f>
        <v>5889</v>
      </c>
      <c r="AZ31" s="144">
        <f>SUBTOTAL(9,AZ9:AZ30)</f>
        <v>14474</v>
      </c>
      <c r="BA31" s="144">
        <f>SUBTOTAL(9,BA9:BA30)</f>
        <v>12635</v>
      </c>
      <c r="BB31" s="144">
        <f>SUBTOTAL(9,BB9:BB30)</f>
        <v>7662</v>
      </c>
      <c r="BC31" s="145">
        <f>SUBTOTAL(9,BC9:BC30)</f>
        <v>2616</v>
      </c>
      <c r="BD31" s="227">
        <f>IF(ISNUMBER(BA31/AZ31),BA31/AZ31," - ")</f>
        <v>0.87294459029984806</v>
      </c>
      <c r="BE31" s="224">
        <f>IF(ISNUMBER(BB31/BA31),BB31/BA31, " - ")</f>
        <v>0.60641076375148395</v>
      </c>
      <c r="BF31" s="224">
        <f>IF(ISNUMBER(BC31/BA31),BC31/BA31, " - ")</f>
        <v>0.20704392560348239</v>
      </c>
      <c r="BG31" s="145">
        <f>IF(ISNUMBER((AY31+AZ31)/BA31),(AY31+AZ31)/BA31," - ")</f>
        <v>1.611634349030471</v>
      </c>
      <c r="BH31" s="225">
        <f>SUBTOTAL(9,BH9:BH30)</f>
        <v>17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r5DVzUD5MTwLPejWA70cegR5d7TSm+FyFn6nw+4LDQ2RI3SFDjD5ErStpyoCTmuXHw1hR67dWUHZhDHzuoLrzQ==" saltValue="YrW9o3+ohHJhHpMeJTbcsg=="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524</v>
      </c>
    </row>
    <row r="2" spans="1:151">
      <c r="A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345</v>
      </c>
      <c r="CF4" s="1775"/>
      <c r="CG4" s="1775"/>
      <c r="CH4" s="1776"/>
    </row>
    <row r="5" spans="1:151" ht="12.75" customHeight="1" thickBot="1">
      <c r="A5" s="1800" t="str">
        <f>"Año:  " &amp;Criterios!B5 &amp; "                  Trimestre   " &amp;Criterios!D5 &amp; " al " &amp;Criterios!D6</f>
        <v>Año:  2021                  Trimestre   1 al 4</v>
      </c>
      <c r="B5" s="1802" t="s">
        <v>511</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211</v>
      </c>
      <c r="AT5" s="1789" t="s">
        <v>212</v>
      </c>
      <c r="AU5" s="1789" t="s">
        <v>302</v>
      </c>
      <c r="AV5" s="1789" t="s">
        <v>300</v>
      </c>
      <c r="AW5" s="1789" t="s">
        <v>303</v>
      </c>
      <c r="AX5" s="1789" t="s">
        <v>301</v>
      </c>
      <c r="AY5" s="1783" t="s">
        <v>149</v>
      </c>
      <c r="AZ5" s="1836"/>
      <c r="BA5" s="1836"/>
      <c r="BB5" s="1836"/>
      <c r="BC5" s="1837"/>
      <c r="BD5" s="1783" t="s">
        <v>150</v>
      </c>
      <c r="BE5" s="1784"/>
      <c r="BF5" s="1784"/>
      <c r="BG5" s="1785"/>
      <c r="BH5" s="1777" t="s">
        <v>188</v>
      </c>
      <c r="BI5" s="1777" t="s">
        <v>189</v>
      </c>
      <c r="BJ5" s="1833" t="s">
        <v>269</v>
      </c>
      <c r="BK5" s="1794" t="s">
        <v>272</v>
      </c>
      <c r="BL5" s="1794" t="s">
        <v>279</v>
      </c>
      <c r="BM5" s="1830" t="s">
        <v>497</v>
      </c>
      <c r="BN5" s="1607"/>
      <c r="BO5" s="1608"/>
      <c r="BP5" s="1607"/>
      <c r="BQ5" s="1608"/>
      <c r="BR5" s="1607"/>
      <c r="BS5" s="1608"/>
      <c r="BT5" s="1607"/>
      <c r="BU5" s="1608"/>
      <c r="BV5" s="1791" t="s">
        <v>344</v>
      </c>
      <c r="BW5" s="1844" t="s">
        <v>322</v>
      </c>
      <c r="BX5" s="1844" t="s">
        <v>323</v>
      </c>
      <c r="BY5" s="1780" t="s">
        <v>331</v>
      </c>
      <c r="BZ5" s="1780" t="s">
        <v>457</v>
      </c>
      <c r="CA5" s="1767" t="s">
        <v>360</v>
      </c>
      <c r="CB5" s="1767" t="s">
        <v>351</v>
      </c>
      <c r="CC5" s="1767" t="s">
        <v>352</v>
      </c>
      <c r="CD5" s="1767" t="s">
        <v>353</v>
      </c>
      <c r="CE5" s="1755" t="s">
        <v>364</v>
      </c>
      <c r="CF5" s="1755" t="s">
        <v>343</v>
      </c>
      <c r="CG5" s="1755" t="s">
        <v>341</v>
      </c>
      <c r="CH5" s="1755" t="s">
        <v>342</v>
      </c>
      <c r="CI5" s="1771" t="s">
        <v>370</v>
      </c>
      <c r="CJ5" s="1771" t="s">
        <v>371</v>
      </c>
      <c r="CK5" s="1746" t="s">
        <v>596</v>
      </c>
      <c r="CL5" s="1746" t="s">
        <v>597</v>
      </c>
      <c r="CM5" s="1746" t="s">
        <v>598</v>
      </c>
      <c r="CN5" s="1768" t="s">
        <v>479</v>
      </c>
      <c r="CO5" s="1768" t="s">
        <v>472</v>
      </c>
      <c r="CP5" s="1768" t="s">
        <v>478</v>
      </c>
      <c r="CQ5" s="1761" t="s">
        <v>477</v>
      </c>
      <c r="CR5" s="1761" t="s">
        <v>58</v>
      </c>
      <c r="CS5" s="1755" t="s">
        <v>498</v>
      </c>
      <c r="CT5" s="1755" t="s">
        <v>501</v>
      </c>
      <c r="CU5" s="1755" t="s">
        <v>287</v>
      </c>
      <c r="CV5" s="1755" t="s">
        <v>399</v>
      </c>
      <c r="CW5" s="1755" t="s">
        <v>431</v>
      </c>
      <c r="CX5" s="1755" t="s">
        <v>442</v>
      </c>
      <c r="CY5" s="1755" t="s">
        <v>567</v>
      </c>
      <c r="CZ5" s="1755" t="s">
        <v>568</v>
      </c>
      <c r="DA5" s="1755" t="s">
        <v>569</v>
      </c>
      <c r="DB5" s="1727" t="s">
        <v>252</v>
      </c>
      <c r="DC5" s="1727" t="s">
        <v>253</v>
      </c>
      <c r="DD5" s="1727" t="s">
        <v>254</v>
      </c>
      <c r="DE5" s="1758" t="s">
        <v>225</v>
      </c>
      <c r="DF5" s="1758" t="s">
        <v>523</v>
      </c>
      <c r="DG5" s="1755" t="s">
        <v>582</v>
      </c>
      <c r="DH5" s="1746" t="s">
        <v>541</v>
      </c>
      <c r="DI5" s="1746" t="s">
        <v>542</v>
      </c>
      <c r="DJ5" s="1746" t="s">
        <v>579</v>
      </c>
      <c r="DK5" s="1746" t="s">
        <v>633</v>
      </c>
      <c r="DL5" s="1746" t="s">
        <v>636</v>
      </c>
      <c r="DM5" s="1745" t="s">
        <v>709</v>
      </c>
      <c r="DN5" s="1745" t="s">
        <v>710</v>
      </c>
      <c r="DO5" s="1745" t="s">
        <v>711</v>
      </c>
      <c r="DP5" s="1745" t="s">
        <v>712</v>
      </c>
      <c r="DQ5" s="1745" t="s">
        <v>713</v>
      </c>
      <c r="DR5" s="1745" t="s">
        <v>714</v>
      </c>
      <c r="DS5" s="1745" t="s">
        <v>715</v>
      </c>
      <c r="DT5" s="1745" t="s">
        <v>716</v>
      </c>
      <c r="DU5" s="1752" t="s">
        <v>717</v>
      </c>
      <c r="DV5" s="1752" t="s">
        <v>718</v>
      </c>
      <c r="DW5" s="1749" t="s">
        <v>719</v>
      </c>
      <c r="DX5" s="1745" t="s">
        <v>720</v>
      </c>
      <c r="DY5" s="1733" t="s">
        <v>721</v>
      </c>
      <c r="DZ5" s="1749" t="s">
        <v>722</v>
      </c>
      <c r="EA5" s="1733" t="s">
        <v>723</v>
      </c>
      <c r="EB5" s="1742" t="s">
        <v>783</v>
      </c>
      <c r="EC5" s="1742" t="s">
        <v>820</v>
      </c>
      <c r="ED5" s="1742" t="s">
        <v>785</v>
      </c>
      <c r="EE5" s="1742" t="s">
        <v>825</v>
      </c>
      <c r="EF5" s="1742" t="s">
        <v>826</v>
      </c>
      <c r="EG5" s="1733" t="s">
        <v>827</v>
      </c>
      <c r="EH5" s="1733" t="s">
        <v>828</v>
      </c>
      <c r="EI5" s="1733" t="s">
        <v>787</v>
      </c>
      <c r="EJ5" s="1733" t="s">
        <v>788</v>
      </c>
      <c r="EK5" s="1841" t="s">
        <v>876</v>
      </c>
      <c r="EL5" s="1736" t="s">
        <v>894</v>
      </c>
      <c r="EM5" s="1737"/>
      <c r="EN5" s="1738"/>
      <c r="EO5" s="1727" t="s">
        <v>1000</v>
      </c>
      <c r="EP5" s="1727" t="s">
        <v>1002</v>
      </c>
      <c r="EQ5" s="1727" t="s">
        <v>1003</v>
      </c>
      <c r="ER5" s="1727" t="s">
        <v>1009</v>
      </c>
      <c r="ES5" s="1727" t="s">
        <v>1019</v>
      </c>
      <c r="ET5" s="1724" t="s">
        <v>1136</v>
      </c>
      <c r="EU5" s="1724" t="s">
        <v>1137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999</v>
      </c>
      <c r="B7" s="1804"/>
      <c r="C7" s="1807"/>
      <c r="D7" s="69" t="s">
        <v>512</v>
      </c>
      <c r="E7" s="70" t="s">
        <v>167</v>
      </c>
      <c r="F7" s="70" t="s">
        <v>166</v>
      </c>
      <c r="G7" s="131" t="s">
        <v>48</v>
      </c>
      <c r="H7" s="132" t="s">
        <v>513</v>
      </c>
      <c r="I7" s="9" t="s">
        <v>485</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895</v>
      </c>
      <c r="EM7" s="852" t="s">
        <v>126</v>
      </c>
      <c r="EN7" s="852" t="s">
        <v>127</v>
      </c>
      <c r="EO7" s="1729"/>
      <c r="EP7" s="1729"/>
      <c r="EQ7" s="1729"/>
      <c r="ER7" s="1729"/>
      <c r="ES7" s="1729"/>
      <c r="ET7" s="1726"/>
      <c r="EU7" s="1726"/>
    </row>
    <row r="8" spans="1:151" ht="14.25" customHeight="1" thickBot="1">
      <c r="A8" s="73" t="s">
        <v>142</v>
      </c>
      <c r="B8" s="151" t="s">
        <v>514</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293</v>
      </c>
      <c r="BK8" s="53" t="s">
        <v>298</v>
      </c>
      <c r="BL8" s="53" t="s">
        <v>299</v>
      </c>
      <c r="BM8" s="53"/>
      <c r="BN8" s="53"/>
      <c r="BO8" s="53"/>
      <c r="BP8" s="53"/>
      <c r="BQ8" s="53"/>
      <c r="BR8" s="53"/>
      <c r="BS8" s="53"/>
      <c r="BT8" s="53"/>
      <c r="BU8" s="53"/>
      <c r="BV8" s="53" t="s">
        <v>355</v>
      </c>
      <c r="BW8" s="53" t="s">
        <v>356</v>
      </c>
      <c r="BX8" s="53" t="s">
        <v>361</v>
      </c>
      <c r="BY8" s="53" t="s">
        <v>363</v>
      </c>
      <c r="BZ8" s="53" t="s">
        <v>372</v>
      </c>
      <c r="CA8" s="53" t="s">
        <v>373</v>
      </c>
      <c r="CB8" s="53" t="s">
        <v>458</v>
      </c>
      <c r="CC8" s="53" t="s">
        <v>461</v>
      </c>
      <c r="CD8" s="53" t="s">
        <v>463</v>
      </c>
      <c r="CE8" s="53" t="s">
        <v>473</v>
      </c>
      <c r="CF8" s="53" t="s">
        <v>474</v>
      </c>
      <c r="CG8" s="53" t="s">
        <v>475</v>
      </c>
      <c r="CH8" s="53" t="s">
        <v>476</v>
      </c>
      <c r="CI8" s="53" t="s">
        <v>500</v>
      </c>
      <c r="CJ8" s="53" t="s">
        <v>502</v>
      </c>
      <c r="CK8" s="53" t="s">
        <v>288</v>
      </c>
      <c r="CL8" s="53" t="s">
        <v>406</v>
      </c>
      <c r="CM8" s="53" t="s">
        <v>411</v>
      </c>
      <c r="CN8" s="53"/>
      <c r="CO8" s="53"/>
      <c r="CP8" s="53"/>
      <c r="CQ8" s="53" t="s">
        <v>451</v>
      </c>
      <c r="CR8" s="53" t="s">
        <v>452</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524</v>
      </c>
      <c r="DF8" s="53" t="s">
        <v>59</v>
      </c>
      <c r="DG8" s="53">
        <v>111</v>
      </c>
      <c r="DH8" s="53" t="s">
        <v>593</v>
      </c>
      <c r="DI8" s="53" t="s">
        <v>594</v>
      </c>
      <c r="DJ8" s="536" t="s">
        <v>595</v>
      </c>
      <c r="DK8" s="536" t="s">
        <v>634</v>
      </c>
      <c r="DL8" s="536" t="s">
        <v>635</v>
      </c>
      <c r="DM8" s="536" t="s">
        <v>724</v>
      </c>
      <c r="DN8" s="536" t="s">
        <v>725</v>
      </c>
      <c r="DO8" s="536" t="s">
        <v>726</v>
      </c>
      <c r="DP8" s="536" t="s">
        <v>727</v>
      </c>
      <c r="DQ8" s="536" t="s">
        <v>728</v>
      </c>
      <c r="DR8" s="536" t="s">
        <v>729</v>
      </c>
      <c r="DS8" s="536" t="s">
        <v>730</v>
      </c>
      <c r="DT8" s="536" t="s">
        <v>731</v>
      </c>
      <c r="DU8" s="536" t="s">
        <v>732</v>
      </c>
      <c r="DV8" s="536" t="s">
        <v>733</v>
      </c>
      <c r="DW8" s="536" t="s">
        <v>734</v>
      </c>
      <c r="DX8" s="536" t="s">
        <v>735</v>
      </c>
      <c r="DY8" s="536" t="s">
        <v>736</v>
      </c>
      <c r="DZ8" s="536" t="s">
        <v>737</v>
      </c>
      <c r="EA8" s="536" t="s">
        <v>738</v>
      </c>
      <c r="EB8" s="536" t="s">
        <v>795</v>
      </c>
      <c r="EC8" s="536" t="s">
        <v>796</v>
      </c>
      <c r="ED8" s="536" t="s">
        <v>797</v>
      </c>
      <c r="EE8" s="536" t="s">
        <v>798</v>
      </c>
      <c r="EF8" s="536" t="s">
        <v>799</v>
      </c>
      <c r="EG8" s="536" t="s">
        <v>800</v>
      </c>
      <c r="EH8" s="536" t="s">
        <v>801</v>
      </c>
      <c r="EI8" s="536" t="s">
        <v>802</v>
      </c>
      <c r="EJ8" s="536" t="s">
        <v>803</v>
      </c>
      <c r="EK8" s="536" t="s">
        <v>877</v>
      </c>
      <c r="EL8" s="536" t="s">
        <v>896</v>
      </c>
      <c r="EM8" s="536" t="s">
        <v>897</v>
      </c>
      <c r="EN8" s="536" t="s">
        <v>898</v>
      </c>
      <c r="EO8" s="53" t="s">
        <v>1001</v>
      </c>
      <c r="EP8" s="53" t="s">
        <v>1007</v>
      </c>
      <c r="EQ8" s="53" t="s">
        <v>1008</v>
      </c>
      <c r="ER8" s="536">
        <v>148</v>
      </c>
      <c r="ES8" s="536" t="s">
        <v>1020</v>
      </c>
      <c r="ET8" s="1522" t="s">
        <v>1138</v>
      </c>
      <c r="EU8" s="1522" t="s">
        <v>1139</v>
      </c>
    </row>
    <row r="9" spans="1:151" s="793" customFormat="1" ht="14.25" customHeight="1">
      <c r="A9" s="828" t="s">
        <v>69</v>
      </c>
      <c r="B9" s="775" t="s">
        <v>514</v>
      </c>
      <c r="C9" s="776" t="s">
        <v>8</v>
      </c>
      <c r="D9" s="777" t="s">
        <v>25</v>
      </c>
      <c r="E9" s="775" t="s">
        <v>26</v>
      </c>
      <c r="F9" s="775">
        <v>32</v>
      </c>
      <c r="G9" s="778"/>
      <c r="H9" s="829" t="s">
        <v>315</v>
      </c>
      <c r="I9" s="830" t="s">
        <v>1092</v>
      </c>
      <c r="J9" s="780" t="s">
        <v>1082</v>
      </c>
      <c r="K9" s="780" t="s">
        <v>1097</v>
      </c>
      <c r="L9" s="780" t="s">
        <v>1116</v>
      </c>
      <c r="M9" s="780" t="s">
        <v>648</v>
      </c>
      <c r="N9" s="780" t="s">
        <v>418</v>
      </c>
      <c r="O9" s="780" t="s">
        <v>415</v>
      </c>
      <c r="P9" s="780" t="s">
        <v>480</v>
      </c>
      <c r="Q9" s="780" t="s">
        <v>481</v>
      </c>
      <c r="R9" s="780" t="s">
        <v>482</v>
      </c>
      <c r="S9" s="780"/>
      <c r="T9" s="780"/>
      <c r="U9" s="780"/>
      <c r="V9" s="780"/>
      <c r="W9" s="780"/>
      <c r="X9" s="831"/>
      <c r="Y9" s="832" t="s">
        <v>262</v>
      </c>
      <c r="Z9" s="780" t="s">
        <v>483</v>
      </c>
      <c r="AA9" s="780" t="s">
        <v>204</v>
      </c>
      <c r="AB9" s="780" t="s">
        <v>205</v>
      </c>
      <c r="AC9" s="780"/>
      <c r="AD9" s="780"/>
      <c r="AE9" s="780"/>
      <c r="AF9" s="831"/>
      <c r="AG9" s="832"/>
      <c r="AH9" s="780"/>
      <c r="AI9" s="780"/>
      <c r="AJ9" s="833"/>
      <c r="AK9" s="830"/>
      <c r="AL9" s="780"/>
      <c r="AM9" s="780"/>
      <c r="AN9" s="831"/>
      <c r="AO9" s="834"/>
      <c r="AP9" s="834"/>
      <c r="AQ9" s="834"/>
      <c r="AR9" s="835"/>
      <c r="AS9" s="836" t="s">
        <v>1083</v>
      </c>
      <c r="AT9" s="837"/>
      <c r="AU9" s="836" t="s">
        <v>1110</v>
      </c>
      <c r="AV9" s="837"/>
      <c r="AW9" s="836" t="s">
        <v>1117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657</v>
      </c>
      <c r="BW9" s="534" t="s">
        <v>383</v>
      </c>
      <c r="BX9" s="534" t="s">
        <v>384</v>
      </c>
      <c r="BY9" s="534" t="s">
        <v>1098</v>
      </c>
      <c r="BZ9" s="534" t="s">
        <v>638</v>
      </c>
      <c r="CA9" s="534" t="s">
        <v>528</v>
      </c>
      <c r="CB9" s="534" t="s">
        <v>529</v>
      </c>
      <c r="CC9" s="534" t="s">
        <v>530</v>
      </c>
      <c r="CD9" s="534" t="s">
        <v>531</v>
      </c>
      <c r="CE9" s="534"/>
      <c r="CF9" s="534"/>
      <c r="CG9" s="534"/>
      <c r="CH9" s="534"/>
      <c r="CI9" s="534" t="s">
        <v>674</v>
      </c>
      <c r="CJ9" s="534" t="s">
        <v>532</v>
      </c>
      <c r="CK9" s="534" t="s">
        <v>651</v>
      </c>
      <c r="CL9" s="534" t="s">
        <v>653</v>
      </c>
      <c r="CM9" s="534" t="s">
        <v>655</v>
      </c>
      <c r="CN9" s="534">
        <v>1088</v>
      </c>
      <c r="CO9" s="534">
        <v>720</v>
      </c>
      <c r="CP9" s="534">
        <v>1088</v>
      </c>
      <c r="CQ9" s="841" t="s">
        <v>1099</v>
      </c>
      <c r="CR9" s="841" t="s">
        <v>639</v>
      </c>
      <c r="CS9" s="534"/>
      <c r="CT9" s="534"/>
      <c r="CU9" s="534"/>
      <c r="CV9" s="534" t="s">
        <v>662</v>
      </c>
      <c r="CW9" s="534" t="s">
        <v>527</v>
      </c>
      <c r="CX9" s="534" t="s">
        <v>449</v>
      </c>
      <c r="CY9" s="534" t="s">
        <v>570</v>
      </c>
      <c r="CZ9" s="534" t="s">
        <v>571</v>
      </c>
      <c r="DA9" s="534" t="s">
        <v>572</v>
      </c>
      <c r="DB9" s="836" t="s">
        <v>1084</v>
      </c>
      <c r="DC9" s="836" t="s">
        <v>1085</v>
      </c>
      <c r="DD9" s="534"/>
      <c r="DE9" s="534" t="s">
        <v>306</v>
      </c>
      <c r="DF9" s="534"/>
      <c r="DG9" s="534" t="s">
        <v>583</v>
      </c>
      <c r="DH9" s="534" t="s">
        <v>659</v>
      </c>
      <c r="DI9" s="534" t="s">
        <v>660</v>
      </c>
      <c r="DJ9" s="534" t="s">
        <v>661</v>
      </c>
      <c r="DK9" s="534"/>
      <c r="DL9" s="534"/>
      <c r="DM9" s="534"/>
      <c r="DN9" s="534"/>
      <c r="DO9" s="534"/>
      <c r="DP9" s="534"/>
      <c r="DQ9" s="534"/>
      <c r="DR9" s="534"/>
      <c r="DS9" s="534"/>
      <c r="DT9" s="534"/>
      <c r="DU9" s="534" t="s">
        <v>883</v>
      </c>
      <c r="DV9" s="534" t="s">
        <v>878</v>
      </c>
      <c r="DW9" s="534" t="s">
        <v>879</v>
      </c>
      <c r="DX9" s="534" t="s">
        <v>880</v>
      </c>
      <c r="DY9" s="534" t="s">
        <v>881</v>
      </c>
      <c r="DZ9" s="534"/>
      <c r="EA9" s="534"/>
      <c r="EB9" s="534"/>
      <c r="EC9" s="534"/>
      <c r="ED9" s="534"/>
      <c r="EE9" s="534"/>
      <c r="EF9" s="534"/>
      <c r="EG9" s="534"/>
      <c r="EH9" s="534"/>
      <c r="EI9" s="534"/>
      <c r="EJ9" s="534"/>
      <c r="EK9" s="534"/>
      <c r="EL9" s="841" t="s">
        <v>1071</v>
      </c>
      <c r="EM9" s="841" t="s">
        <v>1072</v>
      </c>
      <c r="EN9" s="534" t="s">
        <v>1070</v>
      </c>
      <c r="EO9" s="1323" t="s">
        <v>1075</v>
      </c>
      <c r="EP9" s="1323" t="s">
        <v>1100</v>
      </c>
      <c r="EQ9" s="1323" t="s">
        <v>1118</v>
      </c>
      <c r="ER9" s="1341">
        <v>1200</v>
      </c>
      <c r="ES9" s="1336"/>
      <c r="ET9" s="1523"/>
      <c r="EU9" s="1523"/>
    </row>
    <row r="10" spans="1:151" ht="14.25" customHeight="1">
      <c r="A10" s="147" t="s">
        <v>184</v>
      </c>
      <c r="B10" s="21" t="s">
        <v>514</v>
      </c>
      <c r="C10" s="22" t="s">
        <v>8</v>
      </c>
      <c r="D10" s="23" t="s">
        <v>111</v>
      </c>
      <c r="E10" s="21" t="s">
        <v>111</v>
      </c>
      <c r="F10" s="21" t="s">
        <v>179</v>
      </c>
      <c r="G10" s="6"/>
      <c r="H10" s="146"/>
      <c r="I10" s="193" t="s">
        <v>691</v>
      </c>
      <c r="J10" s="194" t="s">
        <v>689</v>
      </c>
      <c r="K10" s="194" t="s">
        <v>690</v>
      </c>
      <c r="L10" s="194" t="s">
        <v>695</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1027</v>
      </c>
      <c r="AT10" s="66"/>
      <c r="AU10" s="161" t="s">
        <v>1028</v>
      </c>
      <c r="AV10" s="66"/>
      <c r="AW10" s="161" t="s">
        <v>1029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390</v>
      </c>
      <c r="BW10" s="167" t="s">
        <v>454</v>
      </c>
      <c r="BX10" s="167" t="s">
        <v>455</v>
      </c>
      <c r="BY10" s="167" t="s">
        <v>1030</v>
      </c>
      <c r="BZ10" s="167"/>
      <c r="CA10" s="167"/>
      <c r="CB10" s="167"/>
      <c r="CC10" s="167"/>
      <c r="CD10" s="167"/>
      <c r="CE10" s="167"/>
      <c r="CF10" s="167"/>
      <c r="CG10" s="167"/>
      <c r="CH10" s="167"/>
      <c r="CI10" s="167" t="s">
        <v>676</v>
      </c>
      <c r="CJ10" s="167" t="s">
        <v>380</v>
      </c>
      <c r="CK10" s="167" t="s">
        <v>600</v>
      </c>
      <c r="CL10" s="167" t="s">
        <v>601</v>
      </c>
      <c r="CM10" s="167" t="s">
        <v>602</v>
      </c>
      <c r="CN10" s="167">
        <v>1175</v>
      </c>
      <c r="CO10" s="167">
        <v>0</v>
      </c>
      <c r="CP10" s="315" t="s">
        <v>534</v>
      </c>
      <c r="CQ10" s="167" t="s">
        <v>1031</v>
      </c>
      <c r="CR10" s="167"/>
      <c r="CS10" s="167"/>
      <c r="CT10" s="169"/>
      <c r="CU10" s="169"/>
      <c r="CV10" s="169" t="s">
        <v>401</v>
      </c>
      <c r="CW10" s="169" t="s">
        <v>441</v>
      </c>
      <c r="CX10" s="169" t="s">
        <v>444</v>
      </c>
      <c r="CY10" s="169" t="s">
        <v>677</v>
      </c>
      <c r="CZ10" s="169" t="s">
        <v>678</v>
      </c>
      <c r="DA10" s="169" t="s">
        <v>679</v>
      </c>
      <c r="DB10" s="355" t="s">
        <v>692</v>
      </c>
      <c r="DC10" s="354"/>
      <c r="DD10" s="169"/>
      <c r="DE10" s="169" t="s">
        <v>307</v>
      </c>
      <c r="DF10" s="169"/>
      <c r="DG10" s="169" t="s">
        <v>680</v>
      </c>
      <c r="DH10" s="167" t="s">
        <v>548</v>
      </c>
      <c r="DI10" s="167" t="s">
        <v>546</v>
      </c>
      <c r="DJ10" s="167" t="s">
        <v>547</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1042</v>
      </c>
      <c r="EP10" s="355" t="s">
        <v>1043</v>
      </c>
      <c r="EQ10" s="355" t="s">
        <v>1044</v>
      </c>
      <c r="ER10" s="1342">
        <v>1600</v>
      </c>
      <c r="ES10" s="381"/>
      <c r="ET10" s="1523"/>
      <c r="EU10" s="1523"/>
    </row>
    <row r="11" spans="1:151" s="793" customFormat="1" ht="14.25" customHeight="1" thickBot="1">
      <c r="A11" s="828" t="s">
        <v>515</v>
      </c>
      <c r="B11" s="775" t="s">
        <v>514</v>
      </c>
      <c r="C11" s="776" t="s">
        <v>8</v>
      </c>
      <c r="D11" s="777" t="s">
        <v>25</v>
      </c>
      <c r="E11" s="775" t="s">
        <v>75</v>
      </c>
      <c r="F11" s="775">
        <v>32</v>
      </c>
      <c r="G11" s="778"/>
      <c r="H11" s="795" t="s">
        <v>49</v>
      </c>
      <c r="I11" s="351" t="s">
        <v>1093</v>
      </c>
      <c r="J11" s="350" t="s">
        <v>1086</v>
      </c>
      <c r="K11" s="350" t="s">
        <v>1111</v>
      </c>
      <c r="L11" s="350" t="s">
        <v>1119</v>
      </c>
      <c r="M11" s="350" t="s">
        <v>647</v>
      </c>
      <c r="N11" s="350" t="s">
        <v>53</v>
      </c>
      <c r="O11" s="780" t="s">
        <v>282</v>
      </c>
      <c r="P11" s="350" t="s">
        <v>54</v>
      </c>
      <c r="Q11" s="350" t="s">
        <v>55</v>
      </c>
      <c r="R11" s="350" t="s">
        <v>122</v>
      </c>
      <c r="S11" s="350"/>
      <c r="T11" s="350"/>
      <c r="U11" s="350"/>
      <c r="V11" s="350"/>
      <c r="W11" s="350"/>
      <c r="X11" s="781"/>
      <c r="Y11" s="832" t="s">
        <v>262</v>
      </c>
      <c r="Z11" s="780" t="s">
        <v>483</v>
      </c>
      <c r="AA11" s="780" t="s">
        <v>204</v>
      </c>
      <c r="AB11" s="780" t="s">
        <v>205</v>
      </c>
      <c r="AC11" s="350"/>
      <c r="AD11" s="350"/>
      <c r="AE11" s="350"/>
      <c r="AF11" s="781"/>
      <c r="AG11" s="782"/>
      <c r="AH11" s="350"/>
      <c r="AI11" s="350"/>
      <c r="AJ11" s="783"/>
      <c r="AK11" s="351"/>
      <c r="AL11" s="350"/>
      <c r="AM11" s="350"/>
      <c r="AN11" s="781"/>
      <c r="AO11" s="784"/>
      <c r="AP11" s="784"/>
      <c r="AQ11" s="784"/>
      <c r="AR11" s="834"/>
      <c r="AS11" s="782" t="s">
        <v>1087</v>
      </c>
      <c r="AT11" s="783"/>
      <c r="AU11" s="782" t="s">
        <v>1112</v>
      </c>
      <c r="AV11" s="783"/>
      <c r="AW11" s="782" t="s">
        <v>1120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656</v>
      </c>
      <c r="BW11" s="534" t="s">
        <v>326</v>
      </c>
      <c r="BX11" s="534" t="s">
        <v>327</v>
      </c>
      <c r="BY11" s="796" t="s">
        <v>1113</v>
      </c>
      <c r="BZ11" s="534" t="s">
        <v>997</v>
      </c>
      <c r="CA11" s="534" t="s">
        <v>362</v>
      </c>
      <c r="CB11" s="534" t="s">
        <v>357</v>
      </c>
      <c r="CC11" s="534" t="s">
        <v>358</v>
      </c>
      <c r="CD11" s="534" t="s">
        <v>359</v>
      </c>
      <c r="CE11" s="796"/>
      <c r="CF11" s="796"/>
      <c r="CG11" s="796"/>
      <c r="CH11" s="796"/>
      <c r="CI11" s="796" t="s">
        <v>640</v>
      </c>
      <c r="CJ11" s="796" t="s">
        <v>374</v>
      </c>
      <c r="CK11" s="534" t="s">
        <v>650</v>
      </c>
      <c r="CL11" s="534" t="s">
        <v>652</v>
      </c>
      <c r="CM11" s="534" t="s">
        <v>654</v>
      </c>
      <c r="CN11" s="534">
        <v>1088</v>
      </c>
      <c r="CO11" s="796">
        <v>1000</v>
      </c>
      <c r="CP11" s="534">
        <v>1088</v>
      </c>
      <c r="CQ11" s="534" t="s">
        <v>1101</v>
      </c>
      <c r="CR11" s="534" t="s">
        <v>998</v>
      </c>
      <c r="CS11" s="796"/>
      <c r="CT11" s="534"/>
      <c r="CU11" s="534"/>
      <c r="CV11" s="534" t="s">
        <v>662</v>
      </c>
      <c r="CW11" s="534" t="s">
        <v>434</v>
      </c>
      <c r="CX11" s="534" t="s">
        <v>449</v>
      </c>
      <c r="CY11" s="534" t="s">
        <v>570</v>
      </c>
      <c r="CZ11" s="534" t="s">
        <v>571</v>
      </c>
      <c r="DA11" s="534" t="s">
        <v>572</v>
      </c>
      <c r="DB11" s="363" t="s">
        <v>1088</v>
      </c>
      <c r="DC11" s="363" t="s">
        <v>1089</v>
      </c>
      <c r="DD11" s="534"/>
      <c r="DE11" s="534" t="s">
        <v>308</v>
      </c>
      <c r="DF11" s="534"/>
      <c r="DG11" s="534" t="s">
        <v>583</v>
      </c>
      <c r="DH11" s="534" t="s">
        <v>659</v>
      </c>
      <c r="DI11" s="534" t="s">
        <v>660</v>
      </c>
      <c r="DJ11" s="534" t="s">
        <v>661</v>
      </c>
      <c r="DK11" s="534"/>
      <c r="DL11" s="534"/>
      <c r="DM11" s="841"/>
      <c r="DN11" s="841"/>
      <c r="DO11" s="841"/>
      <c r="DP11" s="841"/>
      <c r="DQ11" s="841"/>
      <c r="DR11" s="841"/>
      <c r="DS11" s="841"/>
      <c r="DT11" s="841"/>
      <c r="DU11" s="841" t="s">
        <v>883</v>
      </c>
      <c r="DV11" s="841" t="s">
        <v>878</v>
      </c>
      <c r="DW11" s="841" t="s">
        <v>879</v>
      </c>
      <c r="DX11" s="841" t="s">
        <v>880</v>
      </c>
      <c r="DY11" s="841" t="s">
        <v>881</v>
      </c>
      <c r="DZ11" s="841"/>
      <c r="EA11" s="841"/>
      <c r="EB11" s="841"/>
      <c r="EC11" s="841"/>
      <c r="ED11" s="841"/>
      <c r="EE11" s="841"/>
      <c r="EF11" s="841"/>
      <c r="EG11" s="841"/>
      <c r="EH11" s="841"/>
      <c r="EI11" s="841"/>
      <c r="EJ11" s="841"/>
      <c r="EK11" s="841"/>
      <c r="EL11" s="841"/>
      <c r="EM11" s="841"/>
      <c r="EN11" s="841"/>
      <c r="EO11" s="1367" t="s">
        <v>1126</v>
      </c>
      <c r="EP11" s="1367" t="s">
        <v>1102</v>
      </c>
      <c r="EQ11" s="1367" t="s">
        <v>1121</v>
      </c>
      <c r="ER11" s="1343">
        <v>1323</v>
      </c>
      <c r="ES11" s="1337"/>
      <c r="ET11" s="1523"/>
      <c r="EU11" s="1523"/>
    </row>
    <row r="12" spans="1:151" s="793" customFormat="1" ht="14.25" customHeight="1">
      <c r="A12" s="828" t="s">
        <v>516</v>
      </c>
      <c r="B12" s="775" t="s">
        <v>514</v>
      </c>
      <c r="C12" s="776" t="s">
        <v>8</v>
      </c>
      <c r="D12" s="777" t="s">
        <v>25</v>
      </c>
      <c r="E12" s="775" t="s">
        <v>25</v>
      </c>
      <c r="F12" s="775">
        <v>31</v>
      </c>
      <c r="G12" s="778"/>
      <c r="H12" s="844"/>
      <c r="I12" s="351" t="s">
        <v>1094</v>
      </c>
      <c r="J12" s="350" t="s">
        <v>1127</v>
      </c>
      <c r="K12" s="350" t="s">
        <v>1103</v>
      </c>
      <c r="L12" s="350" t="s">
        <v>1122</v>
      </c>
      <c r="M12" s="350" t="s">
        <v>682</v>
      </c>
      <c r="N12" s="350" t="s">
        <v>53</v>
      </c>
      <c r="O12" s="780" t="s">
        <v>282</v>
      </c>
      <c r="P12" s="350" t="s">
        <v>491</v>
      </c>
      <c r="Q12" s="350" t="s">
        <v>492</v>
      </c>
      <c r="R12" s="350" t="s">
        <v>493</v>
      </c>
      <c r="S12" s="350"/>
      <c r="T12" s="350"/>
      <c r="U12" s="350"/>
      <c r="V12" s="350"/>
      <c r="W12" s="350"/>
      <c r="X12" s="781"/>
      <c r="Y12" s="832" t="s">
        <v>262</v>
      </c>
      <c r="Z12" s="780" t="s">
        <v>483</v>
      </c>
      <c r="AA12" s="780" t="s">
        <v>204</v>
      </c>
      <c r="AB12" s="780" t="s">
        <v>205</v>
      </c>
      <c r="AC12" s="350"/>
      <c r="AD12" s="350"/>
      <c r="AE12" s="350"/>
      <c r="AF12" s="781"/>
      <c r="AG12" s="782"/>
      <c r="AH12" s="350"/>
      <c r="AI12" s="350"/>
      <c r="AJ12" s="783"/>
      <c r="AK12" s="351"/>
      <c r="AL12" s="350"/>
      <c r="AM12" s="350"/>
      <c r="AN12" s="781"/>
      <c r="AO12" s="784"/>
      <c r="AP12" s="784"/>
      <c r="AQ12" s="784"/>
      <c r="AR12" s="834"/>
      <c r="AS12" s="782" t="s">
        <v>1128</v>
      </c>
      <c r="AT12" s="783"/>
      <c r="AU12" s="782" t="s">
        <v>1104</v>
      </c>
      <c r="AV12" s="783"/>
      <c r="AW12" s="782" t="s">
        <v>1123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658</v>
      </c>
      <c r="BW12" s="534" t="s">
        <v>494</v>
      </c>
      <c r="BX12" s="534" t="s">
        <v>495</v>
      </c>
      <c r="BY12" s="796" t="s">
        <v>1105</v>
      </c>
      <c r="BZ12" s="534"/>
      <c r="CA12" s="534" t="s">
        <v>362</v>
      </c>
      <c r="CB12" s="534" t="s">
        <v>357</v>
      </c>
      <c r="CC12" s="534" t="s">
        <v>358</v>
      </c>
      <c r="CD12" s="534" t="s">
        <v>359</v>
      </c>
      <c r="CE12" s="796"/>
      <c r="CF12" s="796"/>
      <c r="CG12" s="796"/>
      <c r="CH12" s="796"/>
      <c r="CI12" s="796" t="s">
        <v>640</v>
      </c>
      <c r="CJ12" s="796" t="s">
        <v>374</v>
      </c>
      <c r="CK12" s="534" t="s">
        <v>651</v>
      </c>
      <c r="CL12" s="534" t="s">
        <v>653</v>
      </c>
      <c r="CM12" s="534" t="s">
        <v>655</v>
      </c>
      <c r="CN12" s="841" t="s">
        <v>430</v>
      </c>
      <c r="CO12" s="796">
        <v>2880</v>
      </c>
      <c r="CP12" s="841" t="s">
        <v>387</v>
      </c>
      <c r="CQ12" s="841" t="s">
        <v>1106</v>
      </c>
      <c r="CR12" s="841"/>
      <c r="CS12" s="796"/>
      <c r="CT12" s="534"/>
      <c r="CU12" s="534"/>
      <c r="CV12" s="534" t="s">
        <v>662</v>
      </c>
      <c r="CW12" s="534" t="s">
        <v>434</v>
      </c>
      <c r="CX12" s="534" t="s">
        <v>449</v>
      </c>
      <c r="CY12" s="534" t="s">
        <v>570</v>
      </c>
      <c r="CZ12" s="534" t="s">
        <v>571</v>
      </c>
      <c r="DA12" s="534" t="s">
        <v>572</v>
      </c>
      <c r="DB12" s="836" t="s">
        <v>1129</v>
      </c>
      <c r="DC12" s="836" t="s">
        <v>1130</v>
      </c>
      <c r="DD12" s="534"/>
      <c r="DE12" s="534" t="s">
        <v>309</v>
      </c>
      <c r="DF12" s="534"/>
      <c r="DG12" s="534" t="s">
        <v>583</v>
      </c>
      <c r="DH12" s="534" t="s">
        <v>659</v>
      </c>
      <c r="DI12" s="534" t="s">
        <v>660</v>
      </c>
      <c r="DJ12" s="534" t="s">
        <v>661</v>
      </c>
      <c r="DK12" s="534"/>
      <c r="DL12" s="534"/>
      <c r="DM12" s="841"/>
      <c r="DN12" s="841"/>
      <c r="DO12" s="841"/>
      <c r="DP12" s="841"/>
      <c r="DQ12" s="841"/>
      <c r="DR12" s="841"/>
      <c r="DS12" s="841"/>
      <c r="DT12" s="841"/>
      <c r="DU12" s="841" t="s">
        <v>883</v>
      </c>
      <c r="DV12" s="841" t="s">
        <v>878</v>
      </c>
      <c r="DW12" s="841" t="s">
        <v>879</v>
      </c>
      <c r="DX12" s="841" t="s">
        <v>880</v>
      </c>
      <c r="DY12" s="841" t="s">
        <v>881</v>
      </c>
      <c r="DZ12" s="841"/>
      <c r="EA12" s="841"/>
      <c r="EB12" s="841"/>
      <c r="EC12" s="841"/>
      <c r="ED12" s="841"/>
      <c r="EE12" s="841"/>
      <c r="EF12" s="841"/>
      <c r="EG12" s="841"/>
      <c r="EH12" s="841"/>
      <c r="EI12" s="841"/>
      <c r="EJ12" s="841"/>
      <c r="EK12" s="841"/>
      <c r="EL12" s="841" t="s">
        <v>1071</v>
      </c>
      <c r="EM12" s="841" t="s">
        <v>1072</v>
      </c>
      <c r="EN12" s="534" t="s">
        <v>1070</v>
      </c>
      <c r="EO12" s="1323" t="s">
        <v>1090</v>
      </c>
      <c r="EP12" s="1323" t="s">
        <v>1107</v>
      </c>
      <c r="EQ12" s="1323" t="s">
        <v>1124</v>
      </c>
      <c r="ER12" s="1341">
        <v>680</v>
      </c>
      <c r="ES12" s="1338"/>
      <c r="ET12" s="1523"/>
      <c r="EU12" s="1523"/>
    </row>
    <row r="13" spans="1:151" ht="14.25" customHeight="1">
      <c r="A13" s="20" t="s">
        <v>139</v>
      </c>
      <c r="B13" s="21" t="s">
        <v>514</v>
      </c>
      <c r="C13" s="22" t="s">
        <v>8</v>
      </c>
      <c r="D13" s="23" t="s">
        <v>28</v>
      </c>
      <c r="E13" s="21" t="s">
        <v>28</v>
      </c>
      <c r="F13" s="21" t="s">
        <v>101</v>
      </c>
      <c r="G13" s="6"/>
      <c r="H13" s="29"/>
      <c r="I13" s="25" t="s">
        <v>135</v>
      </c>
      <c r="J13" s="26" t="s">
        <v>136</v>
      </c>
      <c r="K13" s="26" t="s">
        <v>137</v>
      </c>
      <c r="L13" s="26" t="s">
        <v>138</v>
      </c>
      <c r="M13" s="26" t="s">
        <v>134</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392</v>
      </c>
      <c r="BW13" s="170"/>
      <c r="BX13" s="170"/>
      <c r="BY13" s="170" t="s">
        <v>426</v>
      </c>
      <c r="BZ13" s="170"/>
      <c r="CA13" s="170"/>
      <c r="CB13" s="170"/>
      <c r="CC13" s="170"/>
      <c r="CD13" s="170"/>
      <c r="CE13" s="170"/>
      <c r="CF13" s="170"/>
      <c r="CG13" s="170"/>
      <c r="CH13" s="170"/>
      <c r="CI13" s="170" t="s">
        <v>376</v>
      </c>
      <c r="CJ13" s="170" t="s">
        <v>377</v>
      </c>
      <c r="CK13" s="170" t="s">
        <v>603</v>
      </c>
      <c r="CL13" s="170" t="s">
        <v>604</v>
      </c>
      <c r="CM13" s="170" t="s">
        <v>605</v>
      </c>
      <c r="CN13" s="170">
        <v>1262</v>
      </c>
      <c r="CO13" s="170"/>
      <c r="CP13" s="170">
        <v>1262</v>
      </c>
      <c r="CQ13" s="170" t="s">
        <v>427</v>
      </c>
      <c r="CR13" s="170"/>
      <c r="CS13" s="170"/>
      <c r="CT13" s="169"/>
      <c r="CU13" s="169"/>
      <c r="CV13" s="169" t="s">
        <v>403</v>
      </c>
      <c r="CW13" s="169"/>
      <c r="CX13" s="169"/>
      <c r="CY13" s="169"/>
      <c r="CZ13" s="169"/>
      <c r="DA13" s="169"/>
      <c r="DB13" s="160" t="s">
        <v>136</v>
      </c>
      <c r="DC13" s="356"/>
      <c r="DD13" s="169"/>
      <c r="DE13" s="169" t="s">
        <v>310</v>
      </c>
      <c r="DF13" s="169"/>
      <c r="DG13" s="534"/>
      <c r="DH13" s="170" t="s">
        <v>552</v>
      </c>
      <c r="DI13" s="170" t="s">
        <v>553</v>
      </c>
      <c r="DJ13" s="170" t="s">
        <v>554</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136</v>
      </c>
      <c r="EP13" s="1321" t="s">
        <v>137</v>
      </c>
      <c r="EQ13" s="1321" t="s">
        <v>138</v>
      </c>
      <c r="ER13" s="1343">
        <v>875</v>
      </c>
      <c r="ES13" s="1339"/>
      <c r="ET13" s="1523"/>
      <c r="EU13" s="1523"/>
    </row>
    <row r="14" spans="1:151" ht="14.25" customHeight="1" thickBot="1">
      <c r="A14" s="77" t="s">
        <v>5</v>
      </c>
      <c r="B14" s="78" t="s">
        <v>514</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141</v>
      </c>
      <c r="B15" s="85" t="s">
        <v>514</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517</v>
      </c>
      <c r="B16" s="775" t="s">
        <v>514</v>
      </c>
      <c r="C16" s="776" t="s">
        <v>8</v>
      </c>
      <c r="D16" s="777" t="s">
        <v>25</v>
      </c>
      <c r="E16" s="775" t="s">
        <v>27</v>
      </c>
      <c r="F16" s="775">
        <v>33</v>
      </c>
      <c r="G16" s="778"/>
      <c r="H16" s="779"/>
      <c r="I16" s="351" t="s">
        <v>685</v>
      </c>
      <c r="J16" s="350" t="s">
        <v>1050</v>
      </c>
      <c r="K16" s="350" t="s">
        <v>1058</v>
      </c>
      <c r="L16" s="350" t="s">
        <v>1063</v>
      </c>
      <c r="M16" s="350" t="s">
        <v>684</v>
      </c>
      <c r="N16" s="350" t="s">
        <v>416</v>
      </c>
      <c r="O16" s="780" t="s">
        <v>417</v>
      </c>
      <c r="P16" s="350" t="s">
        <v>630</v>
      </c>
      <c r="Q16" s="350" t="s">
        <v>631</v>
      </c>
      <c r="R16" s="350" t="s">
        <v>632</v>
      </c>
      <c r="S16" s="350"/>
      <c r="T16" s="350"/>
      <c r="U16" s="350"/>
      <c r="V16" s="350"/>
      <c r="W16" s="350"/>
      <c r="X16" s="781"/>
      <c r="Y16" s="782"/>
      <c r="Z16" s="350"/>
      <c r="AA16" s="350"/>
      <c r="AB16" s="350"/>
      <c r="AC16" s="350" t="s">
        <v>63</v>
      </c>
      <c r="AD16" s="350" t="s">
        <v>72</v>
      </c>
      <c r="AE16" s="350" t="s">
        <v>73</v>
      </c>
      <c r="AF16" s="781" t="s">
        <v>74</v>
      </c>
      <c r="AG16" s="782"/>
      <c r="AH16" s="350"/>
      <c r="AI16" s="350"/>
      <c r="AJ16" s="783"/>
      <c r="AK16" s="351"/>
      <c r="AL16" s="350"/>
      <c r="AM16" s="350"/>
      <c r="AN16" s="781"/>
      <c r="AO16" s="784"/>
      <c r="AP16" s="784"/>
      <c r="AQ16" s="784"/>
      <c r="AR16" s="784"/>
      <c r="AS16" s="782" t="s">
        <v>996</v>
      </c>
      <c r="AT16" s="783" t="s">
        <v>943</v>
      </c>
      <c r="AU16" s="782" t="s">
        <v>696</v>
      </c>
      <c r="AV16" s="783" t="s">
        <v>944</v>
      </c>
      <c r="AW16" s="782" t="s">
        <v>697</v>
      </c>
      <c r="AX16" s="783" t="s">
        <v>945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490</v>
      </c>
      <c r="BW16" s="791" t="s">
        <v>385</v>
      </c>
      <c r="BX16" s="791" t="s">
        <v>386</v>
      </c>
      <c r="BY16" s="792" t="s">
        <v>1032</v>
      </c>
      <c r="BZ16" s="792" t="s">
        <v>1114</v>
      </c>
      <c r="CA16" s="791"/>
      <c r="CB16" s="791"/>
      <c r="CC16" s="791"/>
      <c r="CD16" s="791"/>
      <c r="CE16" s="791"/>
      <c r="CF16" s="791"/>
      <c r="CG16" s="791"/>
      <c r="CH16" s="791"/>
      <c r="CI16" s="791" t="s">
        <v>646</v>
      </c>
      <c r="CJ16" s="791" t="s">
        <v>509</v>
      </c>
      <c r="CK16" s="791" t="s">
        <v>606</v>
      </c>
      <c r="CL16" s="791" t="s">
        <v>607</v>
      </c>
      <c r="CM16" s="791" t="s">
        <v>608</v>
      </c>
      <c r="CN16" s="791">
        <v>1262</v>
      </c>
      <c r="CO16" s="791">
        <v>6600</v>
      </c>
      <c r="CP16" s="791">
        <v>1262</v>
      </c>
      <c r="CQ16" s="792" t="s">
        <v>686</v>
      </c>
      <c r="CR16" s="792" t="s">
        <v>1108</v>
      </c>
      <c r="CS16" s="791" t="s">
        <v>499</v>
      </c>
      <c r="CT16" s="534"/>
      <c r="CU16" s="534"/>
      <c r="CV16" s="534" t="s">
        <v>484</v>
      </c>
      <c r="CW16" s="534" t="s">
        <v>435</v>
      </c>
      <c r="CX16" s="534" t="s">
        <v>216</v>
      </c>
      <c r="CY16" s="534"/>
      <c r="CZ16" s="534"/>
      <c r="DA16" s="534"/>
      <c r="DB16" s="363" t="s">
        <v>1051</v>
      </c>
      <c r="DC16" s="363" t="s">
        <v>1052</v>
      </c>
      <c r="DD16" s="534"/>
      <c r="DE16" s="534" t="s">
        <v>694</v>
      </c>
      <c r="DF16" s="534" t="s">
        <v>526</v>
      </c>
      <c r="DG16" s="534"/>
      <c r="DH16" s="791" t="s">
        <v>543</v>
      </c>
      <c r="DI16" s="791" t="s">
        <v>544</v>
      </c>
      <c r="DJ16" s="791" t="s">
        <v>545</v>
      </c>
      <c r="DK16" s="791"/>
      <c r="DL16" s="791"/>
      <c r="DM16" s="791"/>
      <c r="DN16" s="791"/>
      <c r="DO16" s="791"/>
      <c r="DP16" s="791"/>
      <c r="DQ16" s="791"/>
      <c r="DR16" s="791"/>
      <c r="DS16" s="791"/>
      <c r="DT16" s="791"/>
      <c r="DU16" s="791" t="s">
        <v>804</v>
      </c>
      <c r="DV16" s="791"/>
      <c r="DW16" s="791"/>
      <c r="DX16" s="791"/>
      <c r="DY16" s="791"/>
      <c r="DZ16" s="791"/>
      <c r="EA16" s="791"/>
      <c r="EB16" s="791" t="s">
        <v>993</v>
      </c>
      <c r="EC16" s="791" t="s">
        <v>817</v>
      </c>
      <c r="ED16" s="791"/>
      <c r="EE16" s="791">
        <v>6000</v>
      </c>
      <c r="EF16" s="791">
        <v>650</v>
      </c>
      <c r="EG16" s="791"/>
      <c r="EH16" s="791"/>
      <c r="EI16" s="791" t="s">
        <v>818</v>
      </c>
      <c r="EJ16" s="791"/>
      <c r="EK16" s="791"/>
      <c r="EL16" s="791"/>
      <c r="EM16" s="791"/>
      <c r="EN16" s="791"/>
      <c r="EO16" s="1322" t="s">
        <v>1091</v>
      </c>
      <c r="EP16" s="1322" t="s">
        <v>1109</v>
      </c>
      <c r="EQ16" s="1322" t="s">
        <v>1125</v>
      </c>
      <c r="ER16" s="1345" t="s">
        <v>1041</v>
      </c>
      <c r="ES16" s="1337"/>
      <c r="ET16" s="1523"/>
      <c r="EU16" s="1523"/>
    </row>
    <row r="17" spans="1:151" ht="14.25" customHeight="1">
      <c r="A17" s="7" t="s">
        <v>516</v>
      </c>
      <c r="B17" s="21" t="s">
        <v>514</v>
      </c>
      <c r="C17" s="22" t="s">
        <v>8</v>
      </c>
      <c r="D17" s="23" t="s">
        <v>25</v>
      </c>
      <c r="E17" s="21" t="s">
        <v>25</v>
      </c>
      <c r="F17" s="21">
        <v>31</v>
      </c>
      <c r="G17" s="6"/>
      <c r="H17" s="24"/>
      <c r="I17" s="25" t="s">
        <v>685</v>
      </c>
      <c r="J17" s="26" t="s">
        <v>1053</v>
      </c>
      <c r="K17" s="26" t="s">
        <v>1059</v>
      </c>
      <c r="L17" s="26" t="s">
        <v>1064</v>
      </c>
      <c r="M17" s="26" t="s">
        <v>684</v>
      </c>
      <c r="N17" s="26" t="s">
        <v>196</v>
      </c>
      <c r="O17" s="60" t="s">
        <v>283</v>
      </c>
      <c r="P17" s="26" t="s">
        <v>630</v>
      </c>
      <c r="Q17" s="26" t="s">
        <v>631</v>
      </c>
      <c r="R17" s="26" t="s">
        <v>632</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1054</v>
      </c>
      <c r="AT17" s="27"/>
      <c r="AU17" s="52" t="s">
        <v>1060</v>
      </c>
      <c r="AV17" s="27"/>
      <c r="AW17" s="52" t="s">
        <v>1065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490</v>
      </c>
      <c r="BW17" s="168" t="s">
        <v>488</v>
      </c>
      <c r="BX17" s="168" t="s">
        <v>489</v>
      </c>
      <c r="BY17" s="186" t="s">
        <v>701</v>
      </c>
      <c r="BZ17" s="170"/>
      <c r="CA17" s="170"/>
      <c r="CB17" s="170"/>
      <c r="CC17" s="170"/>
      <c r="CD17" s="170"/>
      <c r="CE17" s="170"/>
      <c r="CF17" s="170"/>
      <c r="CG17" s="170"/>
      <c r="CH17" s="170"/>
      <c r="CI17" s="170" t="s">
        <v>646</v>
      </c>
      <c r="CJ17" s="170" t="s">
        <v>509</v>
      </c>
      <c r="CK17" s="168" t="s">
        <v>606</v>
      </c>
      <c r="CL17" s="168" t="s">
        <v>607</v>
      </c>
      <c r="CM17" s="168" t="s">
        <v>608</v>
      </c>
      <c r="CN17" s="315" t="s">
        <v>430</v>
      </c>
      <c r="CO17" s="170">
        <v>2880</v>
      </c>
      <c r="CP17" s="228" t="s">
        <v>388</v>
      </c>
      <c r="CQ17" s="228" t="s">
        <v>686</v>
      </c>
      <c r="CR17" s="228"/>
      <c r="CS17" s="168" t="s">
        <v>499</v>
      </c>
      <c r="CT17" s="169"/>
      <c r="CU17" s="169"/>
      <c r="CV17" s="169" t="s">
        <v>484</v>
      </c>
      <c r="CW17" s="169" t="s">
        <v>435</v>
      </c>
      <c r="CX17" s="169" t="s">
        <v>216</v>
      </c>
      <c r="CY17" s="169"/>
      <c r="CZ17" s="169"/>
      <c r="DA17" s="169"/>
      <c r="DB17" s="160" t="s">
        <v>1055</v>
      </c>
      <c r="DC17" s="160" t="s">
        <v>1056</v>
      </c>
      <c r="DD17" s="169"/>
      <c r="DE17" s="169" t="s">
        <v>694</v>
      </c>
      <c r="DF17" s="169" t="s">
        <v>526</v>
      </c>
      <c r="DG17" s="534"/>
      <c r="DH17" s="168" t="s">
        <v>543</v>
      </c>
      <c r="DI17" s="168" t="s">
        <v>544</v>
      </c>
      <c r="DJ17" s="168" t="s">
        <v>545</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22" t="s">
        <v>1057</v>
      </c>
      <c r="EP17" s="1322" t="s">
        <v>1061</v>
      </c>
      <c r="EQ17" s="1322" t="s">
        <v>1066</v>
      </c>
      <c r="ER17" s="1343">
        <v>1000</v>
      </c>
      <c r="ES17" s="1337"/>
      <c r="ET17" s="1523"/>
      <c r="EU17" s="1523"/>
    </row>
    <row r="18" spans="1:151" ht="14.25" customHeight="1">
      <c r="A18" s="7" t="s">
        <v>184</v>
      </c>
      <c r="B18" s="21" t="s">
        <v>514</v>
      </c>
      <c r="C18" s="22" t="s">
        <v>8</v>
      </c>
      <c r="D18" s="23" t="s">
        <v>111</v>
      </c>
      <c r="E18" s="21" t="s">
        <v>111</v>
      </c>
      <c r="F18" s="21" t="s">
        <v>179</v>
      </c>
      <c r="G18" s="6"/>
      <c r="H18" s="24"/>
      <c r="I18" s="25" t="s">
        <v>185</v>
      </c>
      <c r="J18" s="26" t="s">
        <v>1142</v>
      </c>
      <c r="K18" s="26" t="s">
        <v>187</v>
      </c>
      <c r="L18" s="26" t="s">
        <v>1062</v>
      </c>
      <c r="M18" s="26" t="s">
        <v>683</v>
      </c>
      <c r="N18" s="26" t="s">
        <v>197</v>
      </c>
      <c r="O18" s="26" t="s">
        <v>284</v>
      </c>
      <c r="P18" s="26" t="s">
        <v>624</v>
      </c>
      <c r="Q18" s="26" t="s">
        <v>625</v>
      </c>
      <c r="R18" s="26" t="s">
        <v>626</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33" t="s">
        <v>420</v>
      </c>
      <c r="AU18" s="161" t="s">
        <v>421</v>
      </c>
      <c r="AV18" s="533" t="s">
        <v>422</v>
      </c>
      <c r="AW18" s="161" t="s">
        <v>423</v>
      </c>
      <c r="AX18" s="533" t="s">
        <v>424</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389</v>
      </c>
      <c r="BW18" s="167" t="s">
        <v>396</v>
      </c>
      <c r="BX18" s="167" t="s">
        <v>397</v>
      </c>
      <c r="BY18" s="186" t="s">
        <v>937</v>
      </c>
      <c r="BZ18" s="187" t="s">
        <v>992</v>
      </c>
      <c r="CA18" s="167"/>
      <c r="CB18" s="167"/>
      <c r="CC18" s="167"/>
      <c r="CD18" s="167"/>
      <c r="CE18" s="167"/>
      <c r="CF18" s="167"/>
      <c r="CG18" s="167"/>
      <c r="CH18" s="167"/>
      <c r="CI18" s="167" t="s">
        <v>675</v>
      </c>
      <c r="CJ18" s="167" t="s">
        <v>379</v>
      </c>
      <c r="CK18" s="167" t="s">
        <v>609</v>
      </c>
      <c r="CL18" s="167" t="s">
        <v>610</v>
      </c>
      <c r="CM18" s="167" t="s">
        <v>610</v>
      </c>
      <c r="CN18" s="167">
        <v>1175</v>
      </c>
      <c r="CO18" s="167">
        <v>1800</v>
      </c>
      <c r="CP18" s="315" t="s">
        <v>533</v>
      </c>
      <c r="CQ18" s="167" t="s">
        <v>991</v>
      </c>
      <c r="CR18" s="167"/>
      <c r="CS18" s="167" t="s">
        <v>823</v>
      </c>
      <c r="CT18" s="169"/>
      <c r="CU18" s="169"/>
      <c r="CV18" s="169" t="s">
        <v>400</v>
      </c>
      <c r="CW18" s="169" t="s">
        <v>440</v>
      </c>
      <c r="CX18" s="169" t="s">
        <v>443</v>
      </c>
      <c r="CY18" s="169"/>
      <c r="CZ18" s="169"/>
      <c r="DA18" s="169"/>
      <c r="DB18" s="355" t="s">
        <v>1049</v>
      </c>
      <c r="DC18" s="361"/>
      <c r="DD18" s="169"/>
      <c r="DE18" s="362" t="s">
        <v>693</v>
      </c>
      <c r="DF18" s="362" t="s">
        <v>186</v>
      </c>
      <c r="DG18" s="534"/>
      <c r="DH18" s="167" t="s">
        <v>551</v>
      </c>
      <c r="DI18" s="167" t="s">
        <v>549</v>
      </c>
      <c r="DJ18" s="167" t="s">
        <v>550</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1049</v>
      </c>
      <c r="EP18" s="355" t="s">
        <v>187</v>
      </c>
      <c r="EQ18" s="355" t="s">
        <v>1062</v>
      </c>
      <c r="ER18" s="1342">
        <v>1600</v>
      </c>
      <c r="ES18" s="381"/>
      <c r="ET18" s="1523"/>
      <c r="EU18" s="1523"/>
    </row>
    <row r="19" spans="1:151" ht="14.25" customHeight="1">
      <c r="A19" s="7" t="s">
        <v>518</v>
      </c>
      <c r="B19" s="21" t="s">
        <v>514</v>
      </c>
      <c r="C19" s="22" t="s">
        <v>8</v>
      </c>
      <c r="D19" s="23" t="s">
        <v>28</v>
      </c>
      <c r="E19" s="21" t="s">
        <v>28</v>
      </c>
      <c r="F19" s="21">
        <v>26</v>
      </c>
      <c r="G19" s="6"/>
      <c r="H19" s="24"/>
      <c r="I19" s="25" t="s">
        <v>64</v>
      </c>
      <c r="J19" s="26" t="s">
        <v>453</v>
      </c>
      <c r="K19" s="26" t="s">
        <v>1131</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391</v>
      </c>
      <c r="BW19" s="170"/>
      <c r="BX19" s="170"/>
      <c r="BY19" s="170" t="s">
        <v>687</v>
      </c>
      <c r="BZ19" s="170"/>
      <c r="CA19" s="170"/>
      <c r="CB19" s="170"/>
      <c r="CC19" s="170"/>
      <c r="CD19" s="170"/>
      <c r="CE19" s="170"/>
      <c r="CF19" s="170"/>
      <c r="CG19" s="170"/>
      <c r="CH19" s="170"/>
      <c r="CI19" s="170" t="s">
        <v>664</v>
      </c>
      <c r="CJ19" s="170" t="s">
        <v>375</v>
      </c>
      <c r="CK19" s="170" t="s">
        <v>611</v>
      </c>
      <c r="CL19" s="170" t="s">
        <v>612</v>
      </c>
      <c r="CM19" s="170" t="s">
        <v>613</v>
      </c>
      <c r="CN19" s="170">
        <v>1262</v>
      </c>
      <c r="CO19" s="170">
        <v>700</v>
      </c>
      <c r="CP19" s="170">
        <v>1262</v>
      </c>
      <c r="CQ19" s="170" t="s">
        <v>995</v>
      </c>
      <c r="CR19" s="170"/>
      <c r="CS19" s="170"/>
      <c r="CT19" s="169"/>
      <c r="CU19" s="169"/>
      <c r="CV19" s="169" t="s">
        <v>402</v>
      </c>
      <c r="CW19" s="169" t="s">
        <v>436</v>
      </c>
      <c r="CX19" s="169" t="s">
        <v>447</v>
      </c>
      <c r="CY19" s="169" t="s">
        <v>573</v>
      </c>
      <c r="CZ19" s="169" t="s">
        <v>574</v>
      </c>
      <c r="DA19" s="169" t="s">
        <v>575</v>
      </c>
      <c r="DB19" s="160" t="s">
        <v>57</v>
      </c>
      <c r="DC19" s="356"/>
      <c r="DD19" s="169"/>
      <c r="DE19" s="362" t="s">
        <v>311</v>
      </c>
      <c r="DF19" s="362" t="s">
        <v>824</v>
      </c>
      <c r="DG19" s="534" t="s">
        <v>584</v>
      </c>
      <c r="DH19" s="170" t="s">
        <v>555</v>
      </c>
      <c r="DI19" s="170" t="s">
        <v>556</v>
      </c>
      <c r="DJ19" s="170" t="s">
        <v>557</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22" t="s">
        <v>1021</v>
      </c>
      <c r="EP19" s="1322" t="s">
        <v>1022</v>
      </c>
      <c r="EQ19" s="1322" t="s">
        <v>1023</v>
      </c>
      <c r="ER19" s="1343">
        <v>875</v>
      </c>
      <c r="ES19" s="1337"/>
      <c r="ET19" s="1523"/>
      <c r="EU19" s="1523"/>
    </row>
    <row r="20" spans="1:151" ht="14.25" customHeight="1">
      <c r="A20" s="7" t="s">
        <v>519</v>
      </c>
      <c r="B20" s="21" t="s">
        <v>514</v>
      </c>
      <c r="C20" s="22" t="s">
        <v>8</v>
      </c>
      <c r="D20" s="23" t="s">
        <v>29</v>
      </c>
      <c r="E20" s="21" t="s">
        <v>29</v>
      </c>
      <c r="F20" s="21">
        <v>25</v>
      </c>
      <c r="G20" s="6"/>
      <c r="H20" s="24"/>
      <c r="I20" s="25" t="s">
        <v>65</v>
      </c>
      <c r="J20" s="26" t="s">
        <v>66</v>
      </c>
      <c r="K20" s="26" t="s">
        <v>114</v>
      </c>
      <c r="L20" s="26" t="s">
        <v>67</v>
      </c>
      <c r="M20" s="26" t="s">
        <v>118</v>
      </c>
      <c r="N20" s="26" t="s">
        <v>621</v>
      </c>
      <c r="O20" s="26" t="s">
        <v>622</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539</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702</v>
      </c>
      <c r="BZ20" s="170" t="s">
        <v>459</v>
      </c>
      <c r="CA20" s="170"/>
      <c r="CB20" s="170"/>
      <c r="CC20" s="170"/>
      <c r="CD20" s="170"/>
      <c r="CE20" s="170"/>
      <c r="CF20" s="170"/>
      <c r="CG20" s="170"/>
      <c r="CH20" s="170"/>
      <c r="CI20" s="170"/>
      <c r="CJ20" s="170"/>
      <c r="CK20" s="170"/>
      <c r="CL20" s="170"/>
      <c r="CM20" s="170"/>
      <c r="CN20" s="170">
        <v>1148</v>
      </c>
      <c r="CO20" s="170">
        <v>1000</v>
      </c>
      <c r="CP20" s="170">
        <v>1148</v>
      </c>
      <c r="CQ20" s="170" t="s">
        <v>994</v>
      </c>
      <c r="CR20" s="170" t="s">
        <v>459</v>
      </c>
      <c r="CS20" s="170"/>
      <c r="CT20" s="169"/>
      <c r="CU20" s="169"/>
      <c r="CV20" s="169"/>
      <c r="CW20" s="169" t="s">
        <v>437</v>
      </c>
      <c r="CX20" s="169"/>
      <c r="CY20" s="169"/>
      <c r="CZ20" s="169"/>
      <c r="DA20" s="169"/>
      <c r="DB20" s="196" t="s">
        <v>66</v>
      </c>
      <c r="DC20" s="356"/>
      <c r="DD20" s="169"/>
      <c r="DE20" s="169"/>
      <c r="DF20" s="169"/>
      <c r="DG20" s="534"/>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6">
        <v>5240</v>
      </c>
      <c r="ES20" s="538"/>
      <c r="ET20" s="1523"/>
      <c r="EU20" s="1523"/>
    </row>
    <row r="21" spans="1:151" ht="14.25" customHeight="1">
      <c r="A21" s="7" t="s">
        <v>520</v>
      </c>
      <c r="B21" s="21" t="s">
        <v>514</v>
      </c>
      <c r="C21" s="22" t="s">
        <v>8</v>
      </c>
      <c r="D21" s="23" t="s">
        <v>30</v>
      </c>
      <c r="E21" s="21" t="s">
        <v>30</v>
      </c>
      <c r="F21" s="21">
        <v>22</v>
      </c>
      <c r="G21" s="6"/>
      <c r="H21" s="28" t="s">
        <v>50</v>
      </c>
      <c r="I21" s="25" t="s">
        <v>946</v>
      </c>
      <c r="J21" s="26" t="s">
        <v>947</v>
      </c>
      <c r="K21" s="26" t="s">
        <v>948</v>
      </c>
      <c r="L21" s="26" t="s">
        <v>949</v>
      </c>
      <c r="M21" s="26" t="s">
        <v>950</v>
      </c>
      <c r="N21" s="26" t="s">
        <v>951</v>
      </c>
      <c r="O21" s="26" t="s">
        <v>952</v>
      </c>
      <c r="P21" s="26" t="s">
        <v>953</v>
      </c>
      <c r="Q21" s="26" t="s">
        <v>954</v>
      </c>
      <c r="R21" s="26" t="s">
        <v>955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958</v>
      </c>
      <c r="AT21" s="27"/>
      <c r="AU21" s="52" t="s">
        <v>956</v>
      </c>
      <c r="AV21" s="27"/>
      <c r="AW21" s="52" t="s">
        <v>957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959</v>
      </c>
      <c r="BW21" s="170" t="s">
        <v>394</v>
      </c>
      <c r="BX21" s="170" t="s">
        <v>395</v>
      </c>
      <c r="BY21" s="186" t="s">
        <v>990</v>
      </c>
      <c r="BZ21" s="186"/>
      <c r="CA21" s="170"/>
      <c r="CB21" s="170"/>
      <c r="CC21" s="170"/>
      <c r="CD21" s="170"/>
      <c r="CE21" s="170"/>
      <c r="CF21" s="170"/>
      <c r="CG21" s="170"/>
      <c r="CH21" s="170"/>
      <c r="CI21" s="170" t="s">
        <v>960</v>
      </c>
      <c r="CJ21" s="170" t="s">
        <v>961</v>
      </c>
      <c r="CK21" s="170" t="s">
        <v>962</v>
      </c>
      <c r="CL21" s="170" t="s">
        <v>963</v>
      </c>
      <c r="CM21" s="170" t="s">
        <v>964</v>
      </c>
      <c r="CN21" s="186" t="s">
        <v>410</v>
      </c>
      <c r="CO21" s="170">
        <v>450</v>
      </c>
      <c r="CP21" s="186" t="s">
        <v>410</v>
      </c>
      <c r="CQ21" s="186" t="s">
        <v>688</v>
      </c>
      <c r="CR21" s="186"/>
      <c r="CS21" s="170"/>
      <c r="CT21" s="169"/>
      <c r="CU21" s="169"/>
      <c r="CV21" s="169" t="s">
        <v>404</v>
      </c>
      <c r="CW21" s="169" t="s">
        <v>438</v>
      </c>
      <c r="CX21" s="169" t="s">
        <v>446</v>
      </c>
      <c r="CY21" s="169"/>
      <c r="CZ21" s="169"/>
      <c r="DA21" s="169"/>
      <c r="DB21" s="160" t="s">
        <v>958</v>
      </c>
      <c r="DC21" s="363" t="s">
        <v>207</v>
      </c>
      <c r="DD21" s="169"/>
      <c r="DE21" s="362" t="s">
        <v>965</v>
      </c>
      <c r="DF21" s="362" t="s">
        <v>989</v>
      </c>
      <c r="DG21" s="534"/>
      <c r="DH21" s="170" t="s">
        <v>558</v>
      </c>
      <c r="DI21" s="170" t="s">
        <v>559</v>
      </c>
      <c r="DJ21" s="170" t="s">
        <v>560</v>
      </c>
      <c r="DK21" s="170"/>
      <c r="DL21" s="170"/>
      <c r="DM21" s="168"/>
      <c r="DN21" s="168"/>
      <c r="DO21" s="168"/>
      <c r="DP21" s="168"/>
      <c r="DQ21" s="168"/>
      <c r="DR21" s="168"/>
      <c r="DS21" s="168"/>
      <c r="DT21" s="168"/>
      <c r="DU21" s="168" t="s">
        <v>808</v>
      </c>
      <c r="DV21" s="168"/>
      <c r="DW21" s="168"/>
      <c r="DX21" s="168"/>
      <c r="DY21" s="168"/>
      <c r="DZ21" s="168"/>
      <c r="EA21" s="168"/>
      <c r="EB21" s="168"/>
      <c r="EC21" s="168"/>
      <c r="ED21" s="168" t="s">
        <v>68</v>
      </c>
      <c r="EE21" s="228"/>
      <c r="EF21" s="168">
        <v>600</v>
      </c>
      <c r="EG21" s="168">
        <v>400</v>
      </c>
      <c r="EH21" s="168">
        <v>450</v>
      </c>
      <c r="EI21" s="168"/>
      <c r="EJ21" s="168" t="s">
        <v>822</v>
      </c>
      <c r="EK21" s="168"/>
      <c r="EL21" s="168"/>
      <c r="EM21" s="168"/>
      <c r="EN21" s="168"/>
      <c r="EO21" s="377" t="s">
        <v>1033</v>
      </c>
      <c r="EP21" s="377" t="s">
        <v>1034</v>
      </c>
      <c r="EQ21" s="377" t="s">
        <v>1035</v>
      </c>
      <c r="ER21" s="1344" t="s">
        <v>1016</v>
      </c>
      <c r="ES21" s="382"/>
      <c r="ET21" s="1523"/>
      <c r="EU21" s="1523"/>
    </row>
    <row r="22" spans="1:151" ht="14.25" customHeight="1">
      <c r="A22" s="7" t="s">
        <v>521</v>
      </c>
      <c r="B22" s="21" t="s">
        <v>514</v>
      </c>
      <c r="C22" s="22" t="s">
        <v>8</v>
      </c>
      <c r="D22" s="23" t="s">
        <v>30</v>
      </c>
      <c r="E22" s="21">
        <v>10</v>
      </c>
      <c r="F22" s="21">
        <v>22</v>
      </c>
      <c r="G22" s="6"/>
      <c r="H22" s="28" t="s">
        <v>50</v>
      </c>
      <c r="I22" s="26" t="s">
        <v>118</v>
      </c>
      <c r="J22" s="26" t="s">
        <v>118</v>
      </c>
      <c r="K22" s="26" t="s">
        <v>118</v>
      </c>
      <c r="L22" s="26" t="s">
        <v>118</v>
      </c>
      <c r="M22" s="26" t="s">
        <v>118</v>
      </c>
      <c r="N22" s="196" t="s">
        <v>623</v>
      </c>
      <c r="O22" s="26" t="s">
        <v>296</v>
      </c>
      <c r="P22" s="26" t="s">
        <v>208</v>
      </c>
      <c r="Q22" s="26" t="s">
        <v>209</v>
      </c>
      <c r="R22" s="26" t="s">
        <v>210</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208</v>
      </c>
      <c r="AT22" s="27"/>
      <c r="AU22" s="52" t="s">
        <v>209</v>
      </c>
      <c r="AV22" s="27"/>
      <c r="AW22" s="52" t="s">
        <v>210</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398</v>
      </c>
      <c r="BZ22" s="170"/>
      <c r="CA22" s="170"/>
      <c r="CB22" s="170"/>
      <c r="CC22" s="170"/>
      <c r="CD22" s="170"/>
      <c r="CE22" s="170"/>
      <c r="CF22" s="170"/>
      <c r="CG22" s="170"/>
      <c r="CH22" s="170"/>
      <c r="CI22" s="170"/>
      <c r="CJ22" s="170"/>
      <c r="CK22" s="170"/>
      <c r="CL22" s="170"/>
      <c r="CM22" s="170"/>
      <c r="CN22" s="170">
        <v>1292</v>
      </c>
      <c r="CO22" s="170">
        <v>2655</v>
      </c>
      <c r="CP22" s="170">
        <v>1292</v>
      </c>
      <c r="CQ22" s="170" t="s">
        <v>884</v>
      </c>
      <c r="CR22" s="170"/>
      <c r="CS22" s="170"/>
      <c r="CT22" s="169"/>
      <c r="CU22" s="169"/>
      <c r="CV22" s="169"/>
      <c r="CW22" s="169"/>
      <c r="CX22" s="169"/>
      <c r="CY22" s="169"/>
      <c r="CZ22" s="169"/>
      <c r="DA22" s="169"/>
      <c r="DB22" s="160" t="s">
        <v>208</v>
      </c>
      <c r="DC22" s="356"/>
      <c r="DD22" s="169"/>
      <c r="DE22" s="362" t="s">
        <v>312</v>
      </c>
      <c r="DF22" s="362" t="s">
        <v>312</v>
      </c>
      <c r="DG22" s="534"/>
      <c r="DH22" s="170"/>
      <c r="DI22" s="170"/>
      <c r="DJ22" s="170"/>
      <c r="DK22" s="170"/>
      <c r="DL22" s="170"/>
      <c r="DM22" s="168"/>
      <c r="DN22" s="168"/>
      <c r="DO22" s="168"/>
      <c r="DP22" s="168"/>
      <c r="DQ22" s="168"/>
      <c r="DR22" s="168"/>
      <c r="DS22" s="168"/>
      <c r="DT22" s="168"/>
      <c r="DU22" s="168" t="s">
        <v>808</v>
      </c>
      <c r="DV22" s="168"/>
      <c r="DW22" s="168"/>
      <c r="DX22" s="168"/>
      <c r="DY22" s="168"/>
      <c r="DZ22" s="168"/>
      <c r="EA22" s="168"/>
      <c r="EB22" s="168"/>
      <c r="EC22" s="168"/>
      <c r="ED22" s="168"/>
      <c r="EE22" s="168"/>
      <c r="EF22" s="168"/>
      <c r="EG22" s="168"/>
      <c r="EH22" s="168"/>
      <c r="EI22" s="168"/>
      <c r="EJ22" s="794" t="s">
        <v>891</v>
      </c>
      <c r="EK22" s="168"/>
      <c r="EL22" s="168"/>
      <c r="EM22" s="168"/>
      <c r="EN22" s="168"/>
      <c r="EO22" s="160" t="s">
        <v>1024</v>
      </c>
      <c r="EP22" s="160" t="s">
        <v>1025</v>
      </c>
      <c r="EQ22" s="160" t="s">
        <v>1026</v>
      </c>
      <c r="ER22" s="1343">
        <v>2400</v>
      </c>
      <c r="ES22" s="382"/>
      <c r="ET22" s="1523"/>
      <c r="EU22" s="1523"/>
    </row>
    <row r="23" spans="1:151" ht="14.25" customHeight="1" thickBot="1">
      <c r="A23" s="77" t="s">
        <v>5</v>
      </c>
      <c r="B23" s="78" t="s">
        <v>514</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514</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514</v>
      </c>
      <c r="C25" s="22" t="s">
        <v>8</v>
      </c>
      <c r="D25" s="23">
        <v>30</v>
      </c>
      <c r="E25" s="21">
        <v>30</v>
      </c>
      <c r="F25" s="21">
        <v>23</v>
      </c>
      <c r="G25" s="6"/>
      <c r="H25" s="24"/>
      <c r="I25" s="25" t="s">
        <v>76</v>
      </c>
      <c r="J25" s="26" t="s">
        <v>202</v>
      </c>
      <c r="K25" s="26" t="s">
        <v>305</v>
      </c>
      <c r="L25" s="26" t="s">
        <v>78</v>
      </c>
      <c r="M25" s="26" t="s">
        <v>80</v>
      </c>
      <c r="N25" s="26" t="s">
        <v>707</v>
      </c>
      <c r="O25" s="26" t="s">
        <v>292</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393</v>
      </c>
      <c r="BW25" s="170" t="s">
        <v>599</v>
      </c>
      <c r="BX25" s="170" t="s">
        <v>456</v>
      </c>
      <c r="BY25" s="170" t="s">
        <v>699</v>
      </c>
      <c r="BZ25" s="170"/>
      <c r="CA25" s="170"/>
      <c r="CB25" s="170"/>
      <c r="CC25" s="170"/>
      <c r="CD25" s="170"/>
      <c r="CE25" s="170"/>
      <c r="CF25" s="170"/>
      <c r="CG25" s="170"/>
      <c r="CH25" s="170"/>
      <c r="CI25" s="170" t="s">
        <v>673</v>
      </c>
      <c r="CJ25" s="170" t="s">
        <v>378</v>
      </c>
      <c r="CK25" s="170" t="s">
        <v>614</v>
      </c>
      <c r="CL25" s="170" t="s">
        <v>615</v>
      </c>
      <c r="CM25" s="170" t="s">
        <v>616</v>
      </c>
      <c r="CN25" s="170">
        <v>1262</v>
      </c>
      <c r="CO25" s="170">
        <v>600</v>
      </c>
      <c r="CP25" s="170">
        <v>1262</v>
      </c>
      <c r="CQ25" s="170" t="s">
        <v>700</v>
      </c>
      <c r="CR25" s="170"/>
      <c r="CS25" s="170"/>
      <c r="CT25" s="169"/>
      <c r="CU25" s="169"/>
      <c r="CV25" s="169" t="s">
        <v>405</v>
      </c>
      <c r="CW25" s="169" t="s">
        <v>439</v>
      </c>
      <c r="CX25" s="169" t="s">
        <v>445</v>
      </c>
      <c r="CY25" s="169" t="s">
        <v>576</v>
      </c>
      <c r="CZ25" s="169" t="s">
        <v>577</v>
      </c>
      <c r="DA25" s="169" t="s">
        <v>578</v>
      </c>
      <c r="DB25" s="160" t="s">
        <v>77</v>
      </c>
      <c r="DC25" s="356"/>
      <c r="DD25" s="169"/>
      <c r="DE25" s="364" t="s">
        <v>313</v>
      </c>
      <c r="DF25" s="350" t="s">
        <v>708</v>
      </c>
      <c r="DG25" s="534" t="s">
        <v>585</v>
      </c>
      <c r="DH25" s="170" t="s">
        <v>561</v>
      </c>
      <c r="DI25" s="170" t="s">
        <v>562</v>
      </c>
      <c r="DJ25" s="170" t="s">
        <v>563</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77</v>
      </c>
      <c r="EP25" s="160" t="s">
        <v>79</v>
      </c>
      <c r="EQ25" s="160" t="s">
        <v>78</v>
      </c>
      <c r="ER25" s="1343">
        <v>570</v>
      </c>
      <c r="ES25" s="382"/>
      <c r="ET25" s="1523"/>
      <c r="EU25" s="1523"/>
    </row>
    <row r="26" spans="1:151" ht="14.25" customHeight="1" thickBot="1">
      <c r="A26" s="77" t="s">
        <v>5</v>
      </c>
      <c r="B26" s="78" t="s">
        <v>514</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514</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514</v>
      </c>
      <c r="C28" s="22" t="s">
        <v>8</v>
      </c>
      <c r="D28" s="23" t="s">
        <v>31</v>
      </c>
      <c r="E28" s="21" t="s">
        <v>31</v>
      </c>
      <c r="F28" s="21">
        <v>24</v>
      </c>
      <c r="G28" s="6"/>
      <c r="H28" s="30" t="s">
        <v>51</v>
      </c>
      <c r="I28" s="25" t="s">
        <v>967</v>
      </c>
      <c r="J28" s="26" t="s">
        <v>968</v>
      </c>
      <c r="K28" s="26" t="s">
        <v>969</v>
      </c>
      <c r="L28" s="26" t="s">
        <v>970</v>
      </c>
      <c r="M28" s="26" t="s">
        <v>971</v>
      </c>
      <c r="N28" s="26" t="s">
        <v>983</v>
      </c>
      <c r="O28" s="26" t="s">
        <v>972</v>
      </c>
      <c r="P28" s="26" t="s">
        <v>973</v>
      </c>
      <c r="Q28" s="26" t="s">
        <v>974</v>
      </c>
      <c r="R28" s="26" t="s">
        <v>975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984</v>
      </c>
      <c r="AT28" s="27"/>
      <c r="AU28" s="52" t="s">
        <v>985</v>
      </c>
      <c r="AV28" s="27"/>
      <c r="AW28" s="52" t="s">
        <v>986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976</v>
      </c>
      <c r="BW28" s="170" t="s">
        <v>966</v>
      </c>
      <c r="BX28" s="170" t="s">
        <v>977</v>
      </c>
      <c r="BY28" s="186" t="s">
        <v>988</v>
      </c>
      <c r="BZ28" s="186"/>
      <c r="CA28" s="170" t="s">
        <v>366</v>
      </c>
      <c r="CB28" s="170" t="s">
        <v>367</v>
      </c>
      <c r="CC28" s="170" t="s">
        <v>368</v>
      </c>
      <c r="CD28" s="170" t="s">
        <v>369</v>
      </c>
      <c r="CE28" s="170"/>
      <c r="CF28" s="170"/>
      <c r="CG28" s="170"/>
      <c r="CH28" s="170"/>
      <c r="CI28" s="170" t="s">
        <v>978</v>
      </c>
      <c r="CJ28" s="170" t="s">
        <v>979</v>
      </c>
      <c r="CK28" s="170" t="s">
        <v>617</v>
      </c>
      <c r="CL28" s="170" t="s">
        <v>618</v>
      </c>
      <c r="CM28" s="170" t="s">
        <v>619</v>
      </c>
      <c r="CN28" s="186" t="s">
        <v>409</v>
      </c>
      <c r="CO28" s="170">
        <v>850</v>
      </c>
      <c r="CP28" s="186" t="s">
        <v>409</v>
      </c>
      <c r="CQ28" s="170" t="s">
        <v>705</v>
      </c>
      <c r="CR28" s="170"/>
      <c r="CS28" s="170"/>
      <c r="CT28" s="169"/>
      <c r="CU28" s="169"/>
      <c r="CV28" s="169" t="s">
        <v>581</v>
      </c>
      <c r="CW28" s="169" t="s">
        <v>980</v>
      </c>
      <c r="CX28" s="169" t="s">
        <v>448</v>
      </c>
      <c r="CY28" s="169"/>
      <c r="CZ28" s="169"/>
      <c r="DA28" s="169"/>
      <c r="DB28" s="160" t="s">
        <v>984</v>
      </c>
      <c r="DC28" s="356"/>
      <c r="DD28" s="169"/>
      <c r="DE28" s="364" t="s">
        <v>981</v>
      </c>
      <c r="DF28" s="350" t="s">
        <v>987</v>
      </c>
      <c r="DG28" s="169"/>
      <c r="DH28" s="170" t="s">
        <v>564</v>
      </c>
      <c r="DI28" s="170" t="s">
        <v>565</v>
      </c>
      <c r="DJ28" s="170" t="s">
        <v>566</v>
      </c>
      <c r="DK28" s="170"/>
      <c r="DL28" s="170"/>
      <c r="DM28" s="658" t="s">
        <v>782</v>
      </c>
      <c r="DN28" s="170"/>
      <c r="DO28" s="170"/>
      <c r="DP28" s="170"/>
      <c r="DQ28" s="170"/>
      <c r="DR28" s="170"/>
      <c r="DS28" s="170"/>
      <c r="DT28" s="170"/>
      <c r="DU28" s="170" t="s">
        <v>781</v>
      </c>
      <c r="DV28" s="170"/>
      <c r="DW28" s="170"/>
      <c r="DX28" s="170"/>
      <c r="DY28" s="170"/>
      <c r="DZ28" s="170"/>
      <c r="EA28" s="170"/>
      <c r="EB28" s="170"/>
      <c r="EC28" s="170"/>
      <c r="ED28" s="170" t="s">
        <v>982</v>
      </c>
      <c r="EE28" s="170"/>
      <c r="EF28" s="170"/>
      <c r="EG28" s="170"/>
      <c r="EH28" s="170"/>
      <c r="EI28" s="170"/>
      <c r="EJ28" s="170"/>
      <c r="EK28" s="170"/>
      <c r="EL28" s="170"/>
      <c r="EM28" s="170"/>
      <c r="EN28" s="170"/>
      <c r="EO28" s="1324" t="s">
        <v>1012</v>
      </c>
      <c r="EP28" s="1324" t="s">
        <v>1013</v>
      </c>
      <c r="EQ28" s="1324" t="s">
        <v>1014</v>
      </c>
      <c r="ER28" s="1344" t="s">
        <v>1015</v>
      </c>
      <c r="ES28" s="1340"/>
      <c r="ET28" s="1523"/>
      <c r="EU28" s="1523"/>
    </row>
    <row r="29" spans="1:151" ht="13.9" customHeight="1">
      <c r="A29" s="7" t="s">
        <v>4</v>
      </c>
      <c r="B29" s="21" t="s">
        <v>514</v>
      </c>
      <c r="C29" s="22" t="s">
        <v>8</v>
      </c>
      <c r="D29" s="23" t="s">
        <v>31</v>
      </c>
      <c r="E29" s="21" t="s">
        <v>32</v>
      </c>
      <c r="F29" s="21">
        <v>24</v>
      </c>
      <c r="G29" s="6"/>
      <c r="H29" s="30" t="s">
        <v>51</v>
      </c>
      <c r="I29" s="26" t="s">
        <v>118</v>
      </c>
      <c r="J29" s="26" t="s">
        <v>118</v>
      </c>
      <c r="K29" s="26" t="s">
        <v>118</v>
      </c>
      <c r="L29" s="26" t="s">
        <v>118</v>
      </c>
      <c r="M29" s="26" t="s">
        <v>118</v>
      </c>
      <c r="N29" s="26" t="s">
        <v>703</v>
      </c>
      <c r="O29" s="26" t="s">
        <v>297</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324</v>
      </c>
      <c r="BX29" s="170" t="s">
        <v>325</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314</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22" t="s">
        <v>1036</v>
      </c>
      <c r="EP29" s="1322" t="s">
        <v>1037</v>
      </c>
      <c r="EQ29" s="1322" t="s">
        <v>1038</v>
      </c>
      <c r="ER29" s="1343">
        <v>3500</v>
      </c>
      <c r="ES29" s="1337"/>
      <c r="ET29" s="1523"/>
      <c r="EU29" s="1523"/>
    </row>
    <row r="30" spans="1:151" ht="14.25" customHeight="1" thickBot="1">
      <c r="A30" s="77" t="s">
        <v>5</v>
      </c>
      <c r="B30" s="78" t="s">
        <v>514</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Cj1bp2/ZJNMi43J5c6PZ6p657/w5G3KsyWFGxTlRTcHcIQDWBq87Hj/rcZjR+FsL/8+qCH7tW5EXIgNToDMJIg==" saltValue="4i3bV9/UAq77/vE0yOQCqw=="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CANARIAS</v>
      </c>
      <c r="F1" s="582"/>
    </row>
    <row r="2" spans="1:72" ht="16.5" customHeight="1">
      <c r="C2" s="571" t="str">
        <f>Criterios!A10 &amp;"  "&amp;Criterios!B10 &amp; "  " &amp; IF(NOT(ISBLANK(Criterios!A11)),Criterios!A11 &amp;"  "&amp;Criterios!B11,"")</f>
        <v>Provincias  LAS PALMAS  Resumenes por Partidos Judiciales  PUERTO DEL ROSARIO</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460</v>
      </c>
      <c r="B5" s="297"/>
      <c r="C5" s="1883" t="str">
        <f>"Año:  " &amp;Criterios!B$5 &amp; "          Trimestre   " &amp;Criterios!D$5 &amp; " al " &amp;Criterios!D$6</f>
        <v>Año:  2021          Trimestre   1 al 4</v>
      </c>
      <c r="D5" s="1847" t="s">
        <v>486</v>
      </c>
      <c r="E5" s="1847" t="s">
        <v>752</v>
      </c>
      <c r="F5" s="1885" t="s">
        <v>522</v>
      </c>
      <c r="G5" s="1847" t="s">
        <v>169</v>
      </c>
      <c r="H5" s="1847" t="s">
        <v>785</v>
      </c>
      <c r="I5" s="1847" t="s">
        <v>753</v>
      </c>
      <c r="J5" s="1847" t="s">
        <v>870</v>
      </c>
      <c r="K5" s="1847" t="s">
        <v>871</v>
      </c>
      <c r="L5" s="1847" t="s">
        <v>754</v>
      </c>
      <c r="M5" s="1847" t="s">
        <v>709</v>
      </c>
      <c r="N5" s="1847" t="s">
        <v>872</v>
      </c>
      <c r="O5" s="1877" t="s">
        <v>783</v>
      </c>
      <c r="P5" s="1847" t="s">
        <v>892</v>
      </c>
      <c r="Q5" s="1847" t="s">
        <v>886</v>
      </c>
      <c r="R5" s="1847" t="s">
        <v>225</v>
      </c>
      <c r="S5" s="1880" t="s">
        <v>882</v>
      </c>
      <c r="T5" s="1880" t="s">
        <v>885</v>
      </c>
      <c r="U5" s="1847" t="s">
        <v>786</v>
      </c>
      <c r="V5" s="1880" t="s">
        <v>755</v>
      </c>
      <c r="W5" s="1847" t="s">
        <v>1045</v>
      </c>
      <c r="X5" s="1847" t="s">
        <v>1046</v>
      </c>
      <c r="Y5" s="1859" t="s">
        <v>873</v>
      </c>
      <c r="Z5" s="1850" t="s">
        <v>811</v>
      </c>
      <c r="AA5" s="1853" t="s">
        <v>756</v>
      </c>
      <c r="AB5" s="1850" t="s">
        <v>757</v>
      </c>
      <c r="AC5" s="1850" t="s">
        <v>758</v>
      </c>
      <c r="AD5" s="1856" t="s">
        <v>874</v>
      </c>
      <c r="AE5" s="1856" t="s">
        <v>1073</v>
      </c>
      <c r="AF5" s="1847" t="s">
        <v>887</v>
      </c>
      <c r="AG5" s="1847" t="s">
        <v>710</v>
      </c>
      <c r="AH5" s="1847" t="s">
        <v>875</v>
      </c>
      <c r="AI5" s="1847" t="s">
        <v>236</v>
      </c>
      <c r="AJ5" s="1847" t="s">
        <v>942</v>
      </c>
      <c r="AK5" s="1847" t="s">
        <v>711</v>
      </c>
      <c r="AL5" s="1847" t="s">
        <v>712</v>
      </c>
      <c r="AM5" s="1847" t="s">
        <v>893</v>
      </c>
      <c r="AN5" s="1847" t="s">
        <v>713</v>
      </c>
      <c r="AO5" s="1847" t="s">
        <v>714</v>
      </c>
      <c r="AP5" s="1847" t="s">
        <v>715</v>
      </c>
      <c r="AQ5" s="1847" t="s">
        <v>716</v>
      </c>
      <c r="AR5" s="1847" t="s">
        <v>876</v>
      </c>
      <c r="AS5" s="1847" t="s">
        <v>239</v>
      </c>
      <c r="AT5" s="1862" t="s">
        <v>237</v>
      </c>
      <c r="AU5" s="1847" t="s">
        <v>888</v>
      </c>
      <c r="AV5" s="1865" t="s">
        <v>889</v>
      </c>
      <c r="AW5" s="1868" t="s">
        <v>718</v>
      </c>
      <c r="AX5" s="1847" t="s">
        <v>719</v>
      </c>
      <c r="AY5" s="1847" t="s">
        <v>809</v>
      </c>
      <c r="AZ5" s="1871" t="s">
        <v>810</v>
      </c>
      <c r="BA5" s="1847" t="s">
        <v>760</v>
      </c>
      <c r="BB5" s="1865" t="s">
        <v>761</v>
      </c>
      <c r="BC5" s="1868" t="s">
        <v>240</v>
      </c>
      <c r="BD5" s="1847" t="s">
        <v>762</v>
      </c>
      <c r="BE5" s="1847" t="s">
        <v>317</v>
      </c>
      <c r="BF5" s="1847" t="s">
        <v>318</v>
      </c>
      <c r="BG5" s="1847" t="s">
        <v>319</v>
      </c>
      <c r="BH5" s="1847" t="s">
        <v>763</v>
      </c>
      <c r="BI5" s="1847" t="s">
        <v>320</v>
      </c>
      <c r="BJ5" s="1847" t="s">
        <v>764</v>
      </c>
      <c r="BK5" s="1847" t="s">
        <v>779</v>
      </c>
      <c r="BL5" s="1847" t="s">
        <v>765</v>
      </c>
      <c r="BM5" s="1847" t="s">
        <v>766</v>
      </c>
      <c r="BN5" s="1847" t="s">
        <v>794</v>
      </c>
      <c r="BO5" s="1847" t="s">
        <v>787</v>
      </c>
      <c r="BP5" s="1847" t="s">
        <v>431</v>
      </c>
      <c r="BQ5" s="1847" t="s">
        <v>788</v>
      </c>
      <c r="BR5" s="1847" t="s">
        <v>767</v>
      </c>
      <c r="BS5" s="1847" t="s">
        <v>717</v>
      </c>
      <c r="BT5" s="1874" t="s">
        <v>1047</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316</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316</v>
      </c>
      <c r="C10" s="751" t="str">
        <f>Datos!A10</f>
        <v>Jdos. Violencia contra la mujer</v>
      </c>
      <c r="D10" s="605"/>
      <c r="E10" s="553">
        <f>IF(ISNUMBER(Datos!AQ10),Datos!AQ10," - ")</f>
        <v>0</v>
      </c>
      <c r="F10" s="556">
        <f>IF(ISNUMBER(Datos!L10+Datos!K10-Datos!J10),Datos!L10+Datos!K10-Datos!J10," - ")</f>
        <v>51</v>
      </c>
      <c r="G10" s="547">
        <f>IF(ISNUMBER(Datos!I10),Datos!I10," - ")</f>
        <v>61</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2</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70</v>
      </c>
      <c r="AC10" s="551">
        <f>IF(ISNUMBER(Datos!Q10),Datos!Q10," - ")</f>
        <v>1</v>
      </c>
      <c r="AD10" s="553"/>
      <c r="AE10" s="567"/>
      <c r="AF10" s="555">
        <f>IF(ISNUMBER(Datos!L10),Datos!L10,"-")</f>
        <v>58</v>
      </c>
      <c r="AG10" s="553"/>
      <c r="AH10" s="553"/>
      <c r="AI10" s="553"/>
      <c r="AJ10" s="553"/>
      <c r="AK10" s="553"/>
      <c r="AL10" s="554"/>
      <c r="AM10" s="771">
        <f>IF(ISNUMBER(Datos!R10),Datos!R10," - ")</f>
        <v>16</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36</v>
      </c>
      <c r="BD10" s="697">
        <f>IF(ISNUMBER(Datos!N10),Datos!N10," - ")</f>
        <v>26</v>
      </c>
      <c r="BE10" s="697" t="str">
        <f>IF(ISNUMBER(Datos!BW10),Datos!BW10," - ")</f>
        <v xml:space="preserve"> - </v>
      </c>
      <c r="BF10" s="767" t="str">
        <f>IF(ISNUMBER(Datos!BX10),Datos!BX10," - ")</f>
        <v xml:space="preserve"> - </v>
      </c>
      <c r="BG10" s="768">
        <f>IF(ISNUMBER(Datos!K10/Datos!J10),Datos!K10/Datos!J10," - ")</f>
        <v>0.90909090909090906</v>
      </c>
      <c r="BH10" s="769">
        <f>IF(ISNUMBER(((Datos!L10/Datos!K10)*11)/factor_trimestre),((Datos!L10/Datos!K10)*11)/factor_trimestre," - ")</f>
        <v>9.1142857142857157</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6.6666666666666666E-2</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316</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7</v>
      </c>
      <c r="B12" s="750" t="s">
        <v>316</v>
      </c>
      <c r="C12" s="751" t="str">
        <f>Datos!A12</f>
        <v xml:space="preserve">Jdos. 1ª Instª. e Instr.                        </v>
      </c>
      <c r="D12" s="605"/>
      <c r="E12" s="553">
        <f>IF(ISNUMBER(Datos!AQ12),Datos!AQ12," - ")</f>
        <v>7</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398</v>
      </c>
      <c r="O12" s="553"/>
      <c r="P12" s="553"/>
      <c r="Q12" s="551">
        <f>IF(ISNUMBER(Datos!P12),Datos!P12,0)</f>
        <v>1163</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1102</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99</v>
      </c>
      <c r="AI12" s="553" t="str">
        <f>IF(ISNUMBER(Datos!CD12),Datos!CD12,"-")</f>
        <v>-</v>
      </c>
      <c r="AJ12" s="553" t="str">
        <f>IF(ISNUMBER(Datos!EN12),Datos!EN12," - ")</f>
        <v xml:space="preserve"> - </v>
      </c>
      <c r="AK12" s="553"/>
      <c r="AL12" s="554"/>
      <c r="AM12" s="771">
        <f>IF(ISNUMBER(Datos!R12),Datos!R12," - ")</f>
        <v>6628</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1406</v>
      </c>
      <c r="BD12" s="697">
        <f>IF(ISNUMBER(Datos!N12),Datos!N12," - ")</f>
        <v>2549</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0.93995801259622114</v>
      </c>
      <c r="BH12" s="769">
        <f>IF(ISNUMBER(((IF(J_V="SI",Datos!L12/Datos!K12,(Datos!L12+Datos!AB12)/(Datos!K12+Datos!AA12)))*11)/factor_trimestre),((IF(J_V="SI",Datos!L12/Datos!K12,(Datos!L12+Datos!AB12)/(Datos!K12+Datos!AA12)))*11)/factor_trimestre," - ")</f>
        <v>9.697885646217987</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9.2888685853509973E-3</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316</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7</v>
      </c>
      <c r="F14" s="1200">
        <f t="shared" si="1"/>
        <v>51</v>
      </c>
      <c r="G14" s="1200">
        <f t="shared" si="1"/>
        <v>61</v>
      </c>
      <c r="H14" s="1201">
        <f t="shared" si="1"/>
        <v>0</v>
      </c>
      <c r="I14" s="1200">
        <f t="shared" si="1"/>
        <v>0</v>
      </c>
      <c r="J14" s="1167">
        <f t="shared" si="1"/>
        <v>0</v>
      </c>
      <c r="K14" s="1167">
        <f t="shared" si="1"/>
        <v>0</v>
      </c>
      <c r="L14" s="1201">
        <f t="shared" si="1"/>
        <v>0</v>
      </c>
      <c r="M14" s="1201">
        <f t="shared" si="1"/>
        <v>0</v>
      </c>
      <c r="N14" s="1201">
        <f t="shared" si="1"/>
        <v>398</v>
      </c>
      <c r="O14" s="1202">
        <f t="shared" si="1"/>
        <v>0</v>
      </c>
      <c r="P14" s="1202">
        <f t="shared" si="1"/>
        <v>0</v>
      </c>
      <c r="Q14" s="1201">
        <f t="shared" si="1"/>
        <v>1165</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70</v>
      </c>
      <c r="AC14" s="1201">
        <f t="shared" si="2"/>
        <v>1103</v>
      </c>
      <c r="AD14" s="1201">
        <f t="shared" si="2"/>
        <v>0</v>
      </c>
      <c r="AE14" s="1201">
        <f t="shared" si="2"/>
        <v>0</v>
      </c>
      <c r="AF14" s="1201">
        <f t="shared" si="2"/>
        <v>58</v>
      </c>
      <c r="AG14" s="1201">
        <f t="shared" si="2"/>
        <v>0</v>
      </c>
      <c r="AH14" s="1201">
        <f t="shared" si="2"/>
        <v>99</v>
      </c>
      <c r="AI14" s="1201">
        <f t="shared" si="2"/>
        <v>0</v>
      </c>
      <c r="AJ14" s="1201">
        <f t="shared" si="2"/>
        <v>0</v>
      </c>
      <c r="AK14" s="1201">
        <f t="shared" si="2"/>
        <v>0</v>
      </c>
      <c r="AL14" s="1201">
        <f t="shared" si="2"/>
        <v>0</v>
      </c>
      <c r="AM14" s="1201">
        <f t="shared" si="2"/>
        <v>6644</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1442</v>
      </c>
      <c r="BD14" s="1201">
        <f t="shared" si="2"/>
        <v>2575</v>
      </c>
      <c r="BE14" s="1201">
        <f t="shared" si="2"/>
        <v>0</v>
      </c>
      <c r="BF14" s="1201">
        <f t="shared" si="2"/>
        <v>0</v>
      </c>
      <c r="BG14" s="1201">
        <f>IF(ISNUMBER(Datos!K14/Datos!J14),Datos!K14/Datos!J14," - ")</f>
        <v>0.92922039859320049</v>
      </c>
      <c r="BH14" s="1205">
        <f>IF(ISNUMBER(((Datos!L14/Datos!K14)*11)/factor_trimestre),((Datos!L14/Datos!K14)*11)/factor_trimestre," - ")</f>
        <v>10.200283866897966</v>
      </c>
      <c r="BI14" s="1201">
        <f>IF(ISNUMBER('Resol  Asuntos'!D14/NºAsuntos!G14),'Resol  Asuntos'!D14/NºAsuntos!G14," - ")</f>
        <v>0.21249631594459181</v>
      </c>
      <c r="BJ14" s="1201" t="str">
        <f>IF(ISNUMBER(Datos!CI14/Datos!CJ14),Datos!CI14/Datos!CJ14," - ")</f>
        <v xml:space="preserve"> - </v>
      </c>
      <c r="BK14" s="1201">
        <f>SUBTOTAL(9,BK8:BK13)</f>
        <v>0</v>
      </c>
      <c r="BL14" s="1201">
        <f>IF(ISNUMBER((I14-AB14+L14)/(F14)),(I14-AB14+L14)/(F14)," - ")</f>
        <v>-1.3725490196078431</v>
      </c>
      <c r="BM14" s="1206">
        <f>SUBTOTAL(9,BM9:BM13)</f>
        <v>7.5955535252017661E-2</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506</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7</v>
      </c>
      <c r="B17" s="741" t="s">
        <v>506</v>
      </c>
      <c r="C17" s="754" t="str">
        <f>Datos!A17</f>
        <v xml:space="preserve">Jdos. 1ª Instª. e Instr.                        </v>
      </c>
      <c r="D17" s="755"/>
      <c r="E17" s="746">
        <f>IF(ISNUMBER(Datos!AQ17),Datos!AQ17," - ")</f>
        <v>7</v>
      </c>
      <c r="F17" s="744">
        <f>IF(ISNUMBER(AF17+AB17-Datos!J17-L17),AF17+AB17-Datos!J17-L17," - ")</f>
        <v>1864</v>
      </c>
      <c r="G17" s="747">
        <f>IF(ISNUMBER(IF(D_I="SI",Datos!I17,Datos!I17+Datos!AC17)),IF(D_I="SI",Datos!I17,Datos!I17+Datos!AC17)," - ")</f>
        <v>1846</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338</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6224</v>
      </c>
      <c r="AC17" s="240">
        <f>IF(ISNUMBER(Datos!Q17),Datos!Q17," - ")</f>
        <v>213</v>
      </c>
      <c r="AD17" s="374"/>
      <c r="AE17" s="566"/>
      <c r="AF17" s="745">
        <f>IF(ISNUMBER(IF(D_I="SI",Datos!L17,Datos!L17+Datos!AF17)),IF(D_I="SI",Datos!L17,Datos!L17+Datos!AF17)," - ")</f>
        <v>2013</v>
      </c>
      <c r="AG17" s="374"/>
      <c r="AH17" s="374"/>
      <c r="AI17" s="374"/>
      <c r="AJ17" s="553"/>
      <c r="AK17" s="374"/>
      <c r="AL17" s="549"/>
      <c r="AM17" s="375">
        <f>IF(ISNUMBER(Datos!R17),Datos!R17," - ")</f>
        <v>588</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912</v>
      </c>
      <c r="BD17" s="243">
        <f>IF(ISNUMBER(Datos!N17),Datos!N17," - ")</f>
        <v>4349</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0.97662011611485955</v>
      </c>
      <c r="BH17" s="769">
        <f>IF(ISNUMBER(((IF(D_I="SI",Datos!L17/Datos!K17,(Datos!L17+Datos!AF17)/(Datos!K17+Datos!AE17)))*11)/factor_trimestre),((IF(D_I="SI",Datos!L17/Datos!K17,(Datos!L17+Datos!AF17)/(Datos!K17+Datos!AE17)))*11)/factor_trimestre," - ")</f>
        <v>3.5576799485861184</v>
      </c>
      <c r="BI17" s="266">
        <f>IF(ISNUMBER('Resol  Asuntos'!D17/NºAsuntos!G17),'Resol  Asuntos'!D17/NºAsuntos!G17," - ")</f>
        <v>0.14652956298200515</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506</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87</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61</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790</v>
      </c>
      <c r="AC18" s="551">
        <f>IF(ISNUMBER(Datos!Q18),Datos!Q18," - ")</f>
        <v>59</v>
      </c>
      <c r="AD18" s="553"/>
      <c r="AE18" s="566"/>
      <c r="AF18" s="555">
        <f>IF(ISNUMBER(Datos!L18),Datos!L18,"-")</f>
        <v>58</v>
      </c>
      <c r="AG18" s="553"/>
      <c r="AH18" s="553"/>
      <c r="AI18" s="553"/>
      <c r="AJ18" s="553"/>
      <c r="AK18" s="553"/>
      <c r="AL18" s="554"/>
      <c r="AM18" s="771">
        <f>IF(ISNUMBER(Datos!R18),Datos!R18," - ")</f>
        <v>27</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206</v>
      </c>
      <c r="BD18" s="697">
        <f>IF(ISNUMBER(Datos!N18),Datos!N18," - ")</f>
        <v>396</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1.0661268556005399</v>
      </c>
      <c r="BH18" s="769">
        <f>IF(ISNUMBER(((IF(D_I="SI",Datos!L18/Datos!K18,(Datos!L18+Datos!AF18)/(Datos!K18+Datos!AE18)))*11)/factor_trimestre),((IF(D_I="SI",Datos!L18/Datos!K18,(Datos!L18+Datos!AF18)/(Datos!K18+Datos!AE18)))*11)/factor_trimestre," - ")</f>
        <v>0.80759493670886084</v>
      </c>
      <c r="BI18" s="768">
        <f>IF(ISNUMBER('Resol  Asuntos'!D18/NºAsuntos!G18),'Resol  Asuntos'!D18/NºAsuntos!G18," - ")</f>
        <v>0.26075949367088608</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506</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506</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0</v>
      </c>
      <c r="B21" s="750" t="s">
        <v>506</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506</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7</v>
      </c>
      <c r="F23" s="1200">
        <f>SUBTOTAL(9,F16:F22)</f>
        <v>1864</v>
      </c>
      <c r="G23" s="1200">
        <f>SUBTOTAL(9,G16:G22)</f>
        <v>1933</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399</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7014</v>
      </c>
      <c r="AC23" s="1201">
        <f t="shared" si="5"/>
        <v>272</v>
      </c>
      <c r="AD23" s="1201">
        <f t="shared" si="5"/>
        <v>0</v>
      </c>
      <c r="AE23" s="1201">
        <f t="shared" si="5"/>
        <v>0</v>
      </c>
      <c r="AF23" s="1201">
        <f t="shared" si="5"/>
        <v>2071</v>
      </c>
      <c r="AG23" s="1201">
        <f t="shared" si="5"/>
        <v>0</v>
      </c>
      <c r="AH23" s="1201">
        <f t="shared" si="5"/>
        <v>0</v>
      </c>
      <c r="AI23" s="1201">
        <f t="shared" si="5"/>
        <v>0</v>
      </c>
      <c r="AJ23" s="1201">
        <f t="shared" si="5"/>
        <v>0</v>
      </c>
      <c r="AK23" s="1201">
        <f t="shared" si="5"/>
        <v>0</v>
      </c>
      <c r="AL23" s="1201">
        <f t="shared" si="5"/>
        <v>0</v>
      </c>
      <c r="AM23" s="1201">
        <f t="shared" si="5"/>
        <v>615</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1118</v>
      </c>
      <c r="BD23" s="1201">
        <f t="shared" si="5"/>
        <v>4745</v>
      </c>
      <c r="BE23" s="1201">
        <f t="shared" si="5"/>
        <v>0</v>
      </c>
      <c r="BF23" s="1201">
        <f t="shared" si="5"/>
        <v>0</v>
      </c>
      <c r="BG23" s="1201">
        <f>IF(ISNUMBER(Datos!K23/Datos!J23),Datos!K23/Datos!J23," - ")</f>
        <v>0.98594321057070566</v>
      </c>
      <c r="BH23" s="1205">
        <f>IF(ISNUMBER(((Datos!L23/Datos!K23)*11)/factor_trimestre),((Datos!L23/Datos!K23)*11)/factor_trimestre," - ")</f>
        <v>3.2479327060165382</v>
      </c>
      <c r="BI23" s="1201">
        <f>SUBTOTAL(9,BI16:BI22)</f>
        <v>0.40728905665289122</v>
      </c>
      <c r="BJ23" s="1201">
        <f>SUBTOTAL(9,BJ16:BJ22)</f>
        <v>0</v>
      </c>
      <c r="BK23" s="1201">
        <f>SUBTOTAL(9,BK16:BK22)</f>
        <v>0</v>
      </c>
      <c r="BL23" s="1201">
        <f>IF(ISNUMBER((I23-AB23+L23)/(F23)),(I23-AB23+L23)/(F23)," - ")</f>
        <v>-3.7628755364806867</v>
      </c>
      <c r="BM23" s="1208">
        <f>IF(ISNUMBER((Datos!P23-Datos!Q23)/(Datos!R23-Datos!P23+Datos!Q23)),(Datos!P23-Datos!Q23)/(Datos!R23-Datos!P23+Datos!Q23)," - ")</f>
        <v>0.26024590163934425</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507</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1</v>
      </c>
      <c r="B28" s="604" t="s">
        <v>508</v>
      </c>
      <c r="C28" s="7" t="str">
        <f>Datos!A28</f>
        <v xml:space="preserve">Jdos. de lo Social                              </v>
      </c>
      <c r="D28" s="553"/>
      <c r="E28" s="721">
        <f>IF(ISNUMBER(Datos!AQ28),Datos!AQ28," - ")</f>
        <v>1</v>
      </c>
      <c r="F28" s="556">
        <f>IF(ISNUMBER(Datos!L28+Datos!K28-Datos!J28),Datos!L28+Datos!K28-Datos!J28," - ")</f>
        <v>100</v>
      </c>
      <c r="G28" s="547">
        <f>IF(ISNUMBER(Datos!I28),Datos!I28," - ")</f>
        <v>90</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125</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f>IF(ISNUMBER(Datos!K28),Datos!K28," - ")</f>
        <v>613</v>
      </c>
      <c r="AC28" s="240">
        <f>IF(ISNUMBER(Datos!Q28),Datos!Q28," - ")</f>
        <v>155</v>
      </c>
      <c r="AD28" s="374"/>
      <c r="AE28" s="566"/>
      <c r="AF28" s="372">
        <f>IF(ISNUMBER(Datos!L28),Datos!L28,"-")</f>
        <v>118</v>
      </c>
      <c r="AG28" s="553"/>
      <c r="AH28" s="374"/>
      <c r="AI28" s="374"/>
      <c r="AJ28" s="553"/>
      <c r="AK28" s="553"/>
      <c r="AL28" s="554"/>
      <c r="AM28" s="375">
        <f>IF(ISNUMBER(Datos!R28),Datos!R28," - ")</f>
        <v>20</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f>IF(ISNUMBER(Datos!M28),Datos!M28," - ")</f>
        <v>260</v>
      </c>
      <c r="BD28" s="239">
        <f>IF(ISNUMBER(Datos!N28),Datos!N28," - ")</f>
        <v>101</v>
      </c>
      <c r="BE28" s="245" t="str">
        <f>IF(ISNUMBER(Datos!BW28),Datos!BW28," - ")</f>
        <v xml:space="preserve"> - </v>
      </c>
      <c r="BF28" s="246" t="str">
        <f>IF(ISNUMBER(Datos!BX28),Datos!BX28," - ")</f>
        <v xml:space="preserve"> - </v>
      </c>
      <c r="BG28" s="768">
        <f>IF(ISNUMBER(Datos!K28/Datos!J28),Datos!K28/Datos!J28," - ")</f>
        <v>0.97147385103011097</v>
      </c>
      <c r="BH28" s="769">
        <f>IF(ISNUMBER(((Datos!L28/Datos!K28)*11)/factor_trimestre),((Datos!L28/Datos!K28)*11)/factor_trimestre," - ")</f>
        <v>2.1174551386623164</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508</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1</v>
      </c>
      <c r="F30" s="1200">
        <f t="shared" ref="F30:K30" si="12">SUBTOTAL(9,F28:F29)</f>
        <v>100</v>
      </c>
      <c r="G30" s="1200">
        <f t="shared" si="12"/>
        <v>90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125</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613</v>
      </c>
      <c r="AC30" s="1201">
        <f t="shared" si="14"/>
        <v>155</v>
      </c>
      <c r="AD30" s="1201">
        <f t="shared" si="14"/>
        <v>0</v>
      </c>
      <c r="AE30" s="1201">
        <f t="shared" si="14"/>
        <v>0</v>
      </c>
      <c r="AF30" s="1202">
        <f t="shared" si="14"/>
        <v>118</v>
      </c>
      <c r="AG30" s="1202">
        <f t="shared" si="14"/>
        <v>0</v>
      </c>
      <c r="AH30" s="1202">
        <f t="shared" si="14"/>
        <v>0</v>
      </c>
      <c r="AI30" s="1202">
        <f t="shared" si="14"/>
        <v>0</v>
      </c>
      <c r="AJ30" s="1201">
        <f t="shared" si="14"/>
        <v>0</v>
      </c>
      <c r="AK30" s="1202">
        <f t="shared" si="14"/>
        <v>0</v>
      </c>
      <c r="AL30" s="1202"/>
      <c r="AM30" s="1202">
        <f t="shared" ref="AM30:AV30" si="15">SUBTOTAL(9,AM28:AM29)</f>
        <v>20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260</v>
      </c>
      <c r="BD30" s="1214"/>
      <c r="BE30" s="1201">
        <f>SUBTOTAL(9,BE28:BE29)</f>
        <v>0</v>
      </c>
      <c r="BF30" s="1210">
        <f>SUBTOTAL(9,BF28:BF29)</f>
        <v>0</v>
      </c>
      <c r="BG30" s="1201">
        <f>IF(ISNUMBER(Datos!K30/Datos!J30),Datos!K30/Datos!J30," - ")</f>
        <v>0.97147385103011097</v>
      </c>
      <c r="BH30" s="1205">
        <f>IF(ISNUMBER(((Datos!L30/Datos!K30)*11)/factor_trimestre),((Datos!L30/Datos!K30)*11)/factor_trimestre," - ")</f>
        <v>2.1174551386623164</v>
      </c>
      <c r="BI30" s="1206"/>
      <c r="BJ30" s="1206">
        <f>IF(ISNUMBER(BL30/BM30),BL30/BM30," - ")</f>
        <v>10.216666666666667</v>
      </c>
      <c r="BK30" s="1199">
        <f>SUBTOTAL(9,BK28:BK29)</f>
        <v>0</v>
      </c>
      <c r="BL30" s="1201">
        <f t="shared" si="11"/>
        <v>-6.13</v>
      </c>
      <c r="BM30" s="1208">
        <f>IF(ISNUMBER((Datos!P30-Datos!Q30)/(Datos!R30-Datos!P30+Datos!Q30)),(Datos!P30-Datos!Q30)/(Datos!R30-Datos!P30+Datos!Q30)," - ")</f>
        <v>-0.6</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15</v>
      </c>
      <c r="F31" s="1120">
        <f t="shared" si="16"/>
        <v>2015</v>
      </c>
      <c r="G31" s="1120">
        <f t="shared" si="16"/>
        <v>2084</v>
      </c>
      <c r="H31" s="1122">
        <f t="shared" si="16"/>
        <v>0</v>
      </c>
      <c r="I31" s="1120">
        <f t="shared" si="16"/>
        <v>0</v>
      </c>
      <c r="J31" s="1122">
        <f t="shared" si="16"/>
        <v>0</v>
      </c>
      <c r="K31" s="1122">
        <f t="shared" si="16"/>
        <v>0</v>
      </c>
      <c r="L31" s="1183">
        <f t="shared" si="16"/>
        <v>0</v>
      </c>
      <c r="M31" s="1183">
        <f t="shared" si="16"/>
        <v>0</v>
      </c>
      <c r="N31" s="1183">
        <f t="shared" si="16"/>
        <v>398</v>
      </c>
      <c r="O31" s="1183">
        <f t="shared" si="16"/>
        <v>0</v>
      </c>
      <c r="P31" s="1183">
        <f t="shared" si="16"/>
        <v>0</v>
      </c>
      <c r="Q31" s="1122">
        <f t="shared" si="16"/>
        <v>1689</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7697</v>
      </c>
      <c r="AC31" s="1121">
        <f t="shared" si="17"/>
        <v>1530</v>
      </c>
      <c r="AD31" s="1121">
        <f t="shared" si="17"/>
        <v>0</v>
      </c>
      <c r="AE31" s="1121">
        <f t="shared" si="17"/>
        <v>0</v>
      </c>
      <c r="AF31" s="1128">
        <f t="shared" si="17"/>
        <v>2247</v>
      </c>
      <c r="AG31" s="1128">
        <f t="shared" si="17"/>
        <v>0</v>
      </c>
      <c r="AH31" s="1128">
        <f t="shared" si="17"/>
        <v>99</v>
      </c>
      <c r="AI31" s="1128">
        <f t="shared" si="17"/>
        <v>0</v>
      </c>
      <c r="AJ31" s="1121">
        <f t="shared" si="17"/>
        <v>0</v>
      </c>
      <c r="AK31" s="1128">
        <f t="shared" si="17"/>
        <v>0</v>
      </c>
      <c r="AL31" s="1128">
        <f t="shared" si="17"/>
        <v>0</v>
      </c>
      <c r="AM31" s="1128">
        <f t="shared" si="17"/>
        <v>7279</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2820</v>
      </c>
      <c r="BD31" s="1120">
        <f t="shared" si="17"/>
        <v>7421</v>
      </c>
      <c r="BE31" s="1120">
        <f t="shared" si="17"/>
        <v>0</v>
      </c>
      <c r="BF31" s="1130">
        <f t="shared" si="17"/>
        <v>0</v>
      </c>
      <c r="BG31" s="1227">
        <f>IF(ISNUMBER(Datos!K31/Datos!J31),Datos!K31/Datos!J31," - ")</f>
        <v>0.95874802663188963</v>
      </c>
      <c r="BH31" s="1227">
        <f>IF(ISNUMBER(((Datos!L31/Datos!K31)*11)/factor_trimestre),((Datos!L31/Datos!K31)*11)/factor_trimestre," - ")</f>
        <v>6.3544530355097359</v>
      </c>
      <c r="BI31" s="1106">
        <f>IF(ISNUMBER(Datos!J31/Datos!I31),Datos!J31/Datos!I31," - ")</f>
        <v>1.9383980840872805</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-3.8198511166253102</v>
      </c>
      <c r="BM31" s="1191">
        <f>IF(ISNUMBER((Datos!P31-Datos!Q31+R31)/(Datos!R31-Datos!P31+Datos!Q31-R31)),(Datos!P31-Datos!Q31+R31)/(Datos!R31-Datos!P31+Datos!Q31-R31)," - ")</f>
        <v>2.2331460674157304E-2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336</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521</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337</v>
      </c>
      <c r="D33" s="562"/>
      <c r="E33" s="638">
        <f>IF(ISNUMBER(STDEV(E8:E30)),STDEV(E8:E30),"-")</f>
        <v>2.8928223334023779</v>
      </c>
      <c r="F33" s="677">
        <f>IF(ISNUMBER(STDEV(F8:F30)),STDEV(F8:F30),"-")</f>
        <v>880.72559371723241</v>
      </c>
      <c r="G33" s="678">
        <f>IF(ISNUMBER(STDEV(G8:G30)),STDEV(G8:G30),"-")</f>
        <v>845.48278684852176</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2920.3205670415218</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589.74570791146925</v>
      </c>
      <c r="BD33" s="677"/>
      <c r="BE33" s="677">
        <f>IF(ISNUMBER(STDEV(BE8:BE30)),STDEV(BE8:BE30),"-")</f>
        <v>0</v>
      </c>
      <c r="BF33" s="682">
        <f>IF(ISNUMBER(STDEV(BF8:BF30)),STDEV(BF8:BF30),"-")</f>
        <v>0</v>
      </c>
      <c r="BG33" s="1055">
        <f>IF(ISNUMBER(STDEV(BG8:BG30)),STDEV(BG8:BG30),"-")</f>
        <v>4.7517530495406461E-2</v>
      </c>
      <c r="BH33" s="1061">
        <f>IF(ISNUMBER(STDEV(BH8:BH30)),STDEV(BH8:BH30),"-")</f>
        <v>3.8783699158031348</v>
      </c>
      <c r="BI33" s="273">
        <f>IF(ISNUMBER(STDEV(BI8:BI30)),STDEV(BI8:BI30),"-")</f>
        <v>0.11073243355257234</v>
      </c>
      <c r="BJ33" s="244" t="str">
        <f>IF(ISNUMBER(BL33/BM33),BL33/BM33," - ")</f>
        <v xml:space="preserve"> - </v>
      </c>
      <c r="BK33" s="713"/>
      <c r="BL33" s="685">
        <f>IF(ISNUMBER(STDEV(BL8:BL30)),STDEV(BL8:BL30),"-")</f>
        <v>2.3787349198643164</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540</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334</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335</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P6Sue7kBXcYp7v2l1QMcRa0Y0BOzJwt7TkQGhXHfrxe7tooTUkA17OVi+055MzhcEbOdLmap0EST8Fv9HyZAUA==" saltValue="t55sNs9Yc3fU42Vwj24nfA=="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CANARIAS</v>
      </c>
    </row>
    <row r="2" spans="1:72" ht="16.5" customHeight="1">
      <c r="C2" s="651" t="str">
        <f>Criterios!A10 &amp;"  "&amp;Criterios!B10 &amp; "  " &amp; IF(NOT(ISBLANK(Criterios!A11)),Criterios!A11 &amp;"  "&amp;Criterios!B11,"")</f>
        <v>Provincias  LAS PALMAS  Resumenes por Partidos Judiciales  PUERTO DEL ROSARIO</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460</v>
      </c>
      <c r="B5" s="297"/>
      <c r="C5" s="1888" t="str">
        <f>"Año:  " &amp;Criterios!B$5 &amp; "          Trimestre   " &amp;Criterios!D$5 &amp; " al " &amp;Criterios!D$6</f>
        <v>Año:  2021          Trimestre   1 al 4</v>
      </c>
      <c r="D5" s="1890" t="s">
        <v>486</v>
      </c>
      <c r="E5" s="1847" t="s">
        <v>752</v>
      </c>
      <c r="F5" s="1885" t="s">
        <v>522</v>
      </c>
      <c r="G5" s="1847" t="s">
        <v>169</v>
      </c>
      <c r="H5" s="1847" t="s">
        <v>785</v>
      </c>
      <c r="I5" s="1847" t="s">
        <v>753</v>
      </c>
      <c r="J5" s="1847" t="s">
        <v>890</v>
      </c>
      <c r="K5" s="1847" t="s">
        <v>754</v>
      </c>
      <c r="L5" s="1847" t="s">
        <v>783</v>
      </c>
      <c r="M5" s="1847" t="s">
        <v>892</v>
      </c>
      <c r="N5" s="1847" t="s">
        <v>780</v>
      </c>
      <c r="O5" s="1847" t="s">
        <v>814</v>
      </c>
      <c r="P5" s="1880" t="s">
        <v>882</v>
      </c>
      <c r="Q5" s="1880" t="s">
        <v>885</v>
      </c>
      <c r="R5" s="1847" t="s">
        <v>789</v>
      </c>
      <c r="S5" s="1847" t="s">
        <v>755</v>
      </c>
      <c r="T5" s="1847" t="s">
        <v>1045</v>
      </c>
      <c r="U5" s="1847" t="s">
        <v>1046</v>
      </c>
      <c r="V5" s="1859" t="s">
        <v>873</v>
      </c>
      <c r="W5" s="1850" t="s">
        <v>769</v>
      </c>
      <c r="X5" s="1853" t="s">
        <v>770</v>
      </c>
      <c r="Y5" s="1856" t="s">
        <v>790</v>
      </c>
      <c r="Z5" s="1856" t="s">
        <v>815</v>
      </c>
      <c r="AA5" s="1847" t="s">
        <v>759</v>
      </c>
      <c r="AB5" s="1847" t="s">
        <v>771</v>
      </c>
      <c r="AC5" s="1847" t="s">
        <v>772</v>
      </c>
      <c r="AD5" s="1847" t="s">
        <v>712</v>
      </c>
      <c r="AE5" s="1847" t="s">
        <v>893</v>
      </c>
      <c r="AF5" s="1847" t="s">
        <v>239</v>
      </c>
      <c r="AG5" s="1847" t="s">
        <v>773</v>
      </c>
      <c r="AH5" s="1847" t="s">
        <v>760</v>
      </c>
      <c r="AI5" s="1847" t="s">
        <v>761</v>
      </c>
      <c r="AJ5" s="1847" t="s">
        <v>774</v>
      </c>
      <c r="AK5" s="1847" t="s">
        <v>775</v>
      </c>
      <c r="AL5" s="1847" t="s">
        <v>776</v>
      </c>
      <c r="AM5" s="1871" t="s">
        <v>777</v>
      </c>
      <c r="AN5" s="1847" t="s">
        <v>319</v>
      </c>
      <c r="AO5" s="1847" t="s">
        <v>763</v>
      </c>
      <c r="AP5" s="1847" t="s">
        <v>764</v>
      </c>
      <c r="AQ5" s="1847" t="s">
        <v>791</v>
      </c>
      <c r="AR5" s="1847" t="s">
        <v>792</v>
      </c>
      <c r="AS5" s="1847" t="s">
        <v>794</v>
      </c>
      <c r="AT5" s="1847" t="s">
        <v>787</v>
      </c>
      <c r="AU5" s="1847" t="s">
        <v>431</v>
      </c>
      <c r="AV5" s="1847" t="s">
        <v>778</v>
      </c>
      <c r="AW5" s="1847" t="s">
        <v>717</v>
      </c>
      <c r="BT5" s="1847" t="s">
        <v>1047</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793</v>
      </c>
      <c r="B9" s="749" t="s">
        <v>316</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316</v>
      </c>
      <c r="C10" s="751" t="str">
        <f>Datos!A10</f>
        <v>Jdos. Violencia contra la mujer</v>
      </c>
      <c r="D10" s="605"/>
      <c r="E10" s="752">
        <f>IF(ISNUMBER(Datos!AQ10),Datos!AQ10," - ")</f>
        <v>0</v>
      </c>
      <c r="F10" s="556">
        <f>IF(ISNUMBER(Datos!L10+Datos!K10-Datos!J10),Datos!L10+Datos!K10-Datos!J10," - ")</f>
        <v>51</v>
      </c>
      <c r="G10" s="556">
        <f>IF(ISNUMBER(Datos!I10),Datos!I10," - ")</f>
        <v>61</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2</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70</v>
      </c>
      <c r="Z10" s="810">
        <f>IF(ISNUMBER(Datos!Q10),Datos!Q10," - ")</f>
        <v>1</v>
      </c>
      <c r="AA10" s="555">
        <f>IF(ISNUMBER(Datos!L10),Datos!L10,"-")</f>
        <v>58</v>
      </c>
      <c r="AB10" s="553"/>
      <c r="AC10" s="553"/>
      <c r="AD10" s="567"/>
      <c r="AE10" s="567">
        <f>IF(ISNUMBER(Datos!R10),Datos!R10," - ")</f>
        <v>16</v>
      </c>
      <c r="AF10" s="697" t="str">
        <f>IF(ISNUMBER(Datos!BV10),Datos!BV10," - ")</f>
        <v xml:space="preserve"> - </v>
      </c>
      <c r="AG10" s="556" t="str">
        <f>IF(ISNUMBER(Datos!DV10),Datos!DV10," - ")</f>
        <v xml:space="preserve"> - </v>
      </c>
      <c r="AH10" s="557"/>
      <c r="AI10" s="558"/>
      <c r="AJ10" s="556">
        <f>IF(ISNUMBER(Datos!M10),Datos!M10," - ")</f>
        <v>36</v>
      </c>
      <c r="AK10" s="697">
        <f>IF(ISNUMBER(Datos!N10),Datos!N10," - ")</f>
        <v>26</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9.1142857142857157</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6.6666666666666666E-2</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316</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7</v>
      </c>
      <c r="B12" s="750" t="s">
        <v>316</v>
      </c>
      <c r="C12" s="751" t="str">
        <f>Datos!A12</f>
        <v xml:space="preserve">Jdos. 1ª Instª. e Instr.                        </v>
      </c>
      <c r="D12" s="605"/>
      <c r="E12" s="752">
        <f>IF(ISNUMBER(Datos!AQ12),Datos!AQ12," - ")</f>
        <v>7</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1163</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1102</v>
      </c>
      <c r="AA12" s="555" t="str">
        <f>IF(ISNUMBER(IF(J_V="SI",Datos!L12,Datos!L12+Datos!AB12)-IF(Monitorios="SI",Datos!CD12,0)),
                          IF(J_V="SI",Datos!L12,Datos!L12+Datos!AB12)-IF(Monitorios="SI",Datos!CD12,0),
                          " - ")</f>
        <v xml:space="preserve"> - </v>
      </c>
      <c r="AB12" s="553"/>
      <c r="AC12" s="553"/>
      <c r="AD12" s="567"/>
      <c r="AE12" s="567">
        <f>IF(ISNUMBER(Datos!R12),Datos!R12," - ")</f>
        <v>6628</v>
      </c>
      <c r="AF12" s="697" t="str">
        <f>IF(ISNUMBER(Datos!BV12),Datos!BV12," - ")</f>
        <v xml:space="preserve"> - </v>
      </c>
      <c r="AG12" s="556" t="str">
        <f>IF(ISNUMBER(Datos!DV12),Datos!DV12," - ")</f>
        <v xml:space="preserve"> - </v>
      </c>
      <c r="AH12" s="557"/>
      <c r="AI12" s="558"/>
      <c r="AJ12" s="556">
        <f>IF(ISNUMBER(Datos!M12),Datos!M12," - ")</f>
        <v>1406</v>
      </c>
      <c r="AK12" s="697">
        <f>IF(ISNUMBER(Datos!N12),Datos!N12," - ")</f>
        <v>2549</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9.697885646217987</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9.2888685853509973E-3</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316</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7</v>
      </c>
      <c r="F14" s="1200">
        <f>SUBTOTAL(9,F8:F13)</f>
        <v>51</v>
      </c>
      <c r="G14" s="1200">
        <f>SUBTOTAL(9,G8:G13)</f>
        <v>61</v>
      </c>
      <c r="H14" s="1214"/>
      <c r="I14" s="1200">
        <f t="shared" ref="I14:N14" si="1">SUBTOTAL(9,I8:I13)</f>
        <v>0</v>
      </c>
      <c r="J14" s="1167">
        <f t="shared" si="1"/>
        <v>0</v>
      </c>
      <c r="K14" s="1214">
        <f t="shared" si="1"/>
        <v>0</v>
      </c>
      <c r="L14" s="1214">
        <f t="shared" si="1"/>
        <v>0</v>
      </c>
      <c r="M14" s="1214">
        <f t="shared" si="1"/>
        <v>0</v>
      </c>
      <c r="N14" s="1214">
        <f t="shared" si="1"/>
        <v>1165</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70</v>
      </c>
      <c r="Z14" s="1213">
        <f t="shared" si="3"/>
        <v>1103</v>
      </c>
      <c r="AA14" s="1202">
        <f t="shared" si="3"/>
        <v>58</v>
      </c>
      <c r="AB14" s="1202">
        <f t="shared" si="3"/>
        <v>0</v>
      </c>
      <c r="AC14" s="1202">
        <f t="shared" si="3"/>
        <v>0</v>
      </c>
      <c r="AD14" s="1202">
        <f t="shared" si="3"/>
        <v>0</v>
      </c>
      <c r="AE14" s="1202">
        <f t="shared" si="3"/>
        <v>6644</v>
      </c>
      <c r="AF14" s="1214">
        <f t="shared" si="3"/>
        <v>0</v>
      </c>
      <c r="AG14" s="1214">
        <f t="shared" si="3"/>
        <v>0</v>
      </c>
      <c r="AH14" s="1214">
        <f t="shared" si="3"/>
        <v>0</v>
      </c>
      <c r="AI14" s="1214">
        <f t="shared" si="3"/>
        <v>0</v>
      </c>
      <c r="AJ14" s="1214">
        <f t="shared" si="3"/>
        <v>1442</v>
      </c>
      <c r="AK14" s="1214">
        <f t="shared" si="3"/>
        <v>2575</v>
      </c>
      <c r="AL14" s="1214">
        <f t="shared" si="3"/>
        <v>0</v>
      </c>
      <c r="AM14" s="1214">
        <f t="shared" si="3"/>
        <v>0</v>
      </c>
      <c r="AN14" s="1214">
        <f t="shared" si="3"/>
        <v>0</v>
      </c>
      <c r="AO14" s="1206">
        <f>IF(ISNUMBER(((NºAsuntos!I14/NºAsuntos!G14)*11)/factor_trimestre),((NºAsuntos!I14/NºAsuntos!G14)*11)/factor_trimestre," - ")</f>
        <v>9.6918656056587089</v>
      </c>
      <c r="AP14" s="1216" t="str">
        <f>IF(ISNUMBER(Datos!CI14/Datos!CJ14),Datos!CI14/Datos!CJ14," - ")</f>
        <v xml:space="preserve"> - </v>
      </c>
      <c r="AQ14" s="1240">
        <f>SUBTOTAL(9,AQ9:AQ13)</f>
        <v>0</v>
      </c>
      <c r="AR14" s="1240">
        <f>SUBTOTAL(9,AR9:AR13)</f>
        <v>7.5955535252017661E-2</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506</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7</v>
      </c>
      <c r="B17" s="750" t="s">
        <v>506</v>
      </c>
      <c r="C17" s="770" t="str">
        <f>Datos!A17</f>
        <v xml:space="preserve">Jdos. 1ª Instª. e Instr.                        </v>
      </c>
      <c r="D17" s="597"/>
      <c r="E17" s="752">
        <f>IF(ISNUMBER(Datos!AQ17),Datos!AQ17," - ")</f>
        <v>7</v>
      </c>
      <c r="F17" s="547">
        <f>IF(ISNUMBER(AA17+Y17-Datos!J17-K16),AA17+Y17-Datos!J17-K16," - ")</f>
        <v>1864</v>
      </c>
      <c r="G17" s="556">
        <f>IF(ISNUMBER(IF(D_I="SI",Datos!I17,Datos!I17+Datos!AC17)),IF(D_I="SI",Datos!I17,Datos!I17+Datos!AC17)," - ")</f>
        <v>1846</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338</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6224</v>
      </c>
      <c r="Z17" s="810">
        <f>IF(ISNUMBER(Datos!Q17),Datos!Q17," - ")</f>
        <v>213</v>
      </c>
      <c r="AA17" s="555">
        <f>IF(ISNUMBER(IF(D_I="SI",Datos!L17,Datos!L17+Datos!AF17)),IF(D_I="SI",Datos!L17,Datos!L17+Datos!AF17)," - ")</f>
        <v>2013</v>
      </c>
      <c r="AB17" s="553"/>
      <c r="AC17" s="553"/>
      <c r="AD17" s="567"/>
      <c r="AE17" s="567">
        <f>IF(ISNUMBER(Datos!R17),Datos!R17," - ")</f>
        <v>588</v>
      </c>
      <c r="AF17" s="697" t="str">
        <f>IF(ISNUMBER(Datos!BV17),Datos!BV17," - ")</f>
        <v xml:space="preserve"> - </v>
      </c>
      <c r="AG17" s="556"/>
      <c r="AH17" s="557"/>
      <c r="AI17" s="558"/>
      <c r="AJ17" s="556">
        <f>IF(ISNUMBER(Datos!M17),Datos!M17," - ")</f>
        <v>912</v>
      </c>
      <c r="AK17" s="697">
        <f>IF(ISNUMBER(Datos!N17),Datos!N17," - ")</f>
        <v>4349</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3.5576799485861184</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506</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87</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61</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790</v>
      </c>
      <c r="Z18" s="810">
        <f>IF(ISNUMBER(Datos!Q18),Datos!Q18," - ")</f>
        <v>59</v>
      </c>
      <c r="AA18" s="555">
        <f>IF(ISNUMBER(Datos!L18),Datos!L18,"-")</f>
        <v>58</v>
      </c>
      <c r="AB18" s="553"/>
      <c r="AC18" s="553"/>
      <c r="AD18" s="567"/>
      <c r="AE18" s="567">
        <f>IF(ISNUMBER(Datos!R18),Datos!R18," - ")</f>
        <v>27</v>
      </c>
      <c r="AF18" s="697" t="str">
        <f>IF(ISNUMBER(Datos!BV18),Datos!BV18," - ")</f>
        <v xml:space="preserve"> - </v>
      </c>
      <c r="AG18" s="556" t="str">
        <f>IF(ISNUMBER(Datos!DV18),Datos!DV18," - ")</f>
        <v xml:space="preserve"> - </v>
      </c>
      <c r="AH18" s="557"/>
      <c r="AI18" s="558"/>
      <c r="AJ18" s="556">
        <f>IF(ISNUMBER(Datos!M18),Datos!M18," - ")</f>
        <v>206</v>
      </c>
      <c r="AK18" s="697">
        <f>IF(ISNUMBER(Datos!N18),Datos!N18," - ")</f>
        <v>396</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0.80759493670886084</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506</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506</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0</v>
      </c>
      <c r="B21" s="750" t="s">
        <v>506</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506</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7</v>
      </c>
      <c r="F23" s="1200">
        <f>SUBTOTAL(9,F16:F22)</f>
        <v>1864</v>
      </c>
      <c r="G23" s="1200">
        <f>SUBTOTAL(9,G16:G22)</f>
        <v>1933</v>
      </c>
      <c r="H23" s="1245">
        <f>SUBTOTAL(9,H16:H22)</f>
        <v>0</v>
      </c>
      <c r="I23" s="1220">
        <f>SUBTOTAL(9,I16:I22)</f>
        <v>0</v>
      </c>
      <c r="J23" s="1167">
        <f>SUBTOTAL(9,J15:J22)</f>
        <v>0</v>
      </c>
      <c r="K23" s="1245">
        <f t="shared" ref="K23:S23" si="4">SUBTOTAL(9,K16:K22)</f>
        <v>0</v>
      </c>
      <c r="L23" s="1245">
        <f t="shared" si="4"/>
        <v>0</v>
      </c>
      <c r="M23" s="1245">
        <f t="shared" si="4"/>
        <v>0</v>
      </c>
      <c r="N23" s="1245">
        <f t="shared" si="4"/>
        <v>399</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7014</v>
      </c>
      <c r="Z23" s="1245">
        <f t="shared" si="5"/>
        <v>272</v>
      </c>
      <c r="AA23" s="1245">
        <f t="shared" si="5"/>
        <v>2071</v>
      </c>
      <c r="AB23" s="1245">
        <f t="shared" si="5"/>
        <v>0</v>
      </c>
      <c r="AC23" s="1245">
        <f t="shared" si="5"/>
        <v>0</v>
      </c>
      <c r="AD23" s="1245">
        <f t="shared" si="5"/>
        <v>0</v>
      </c>
      <c r="AE23" s="1245">
        <f t="shared" si="5"/>
        <v>615</v>
      </c>
      <c r="AF23" s="1245">
        <f t="shared" si="5"/>
        <v>0</v>
      </c>
      <c r="AG23" s="1245">
        <f t="shared" si="5"/>
        <v>0</v>
      </c>
      <c r="AH23" s="1245">
        <f t="shared" si="5"/>
        <v>0</v>
      </c>
      <c r="AI23" s="1245">
        <f t="shared" si="5"/>
        <v>0</v>
      </c>
      <c r="AJ23" s="1245">
        <f t="shared" si="5"/>
        <v>1118</v>
      </c>
      <c r="AK23" s="1245">
        <f t="shared" si="5"/>
        <v>4745</v>
      </c>
      <c r="AL23" s="1245">
        <f t="shared" si="5"/>
        <v>0</v>
      </c>
      <c r="AM23" s="1245">
        <f t="shared" si="5"/>
        <v>0</v>
      </c>
      <c r="AN23" s="1245">
        <f t="shared" si="5"/>
        <v>0</v>
      </c>
      <c r="AO23" s="1247">
        <f>IF(ISNUMBER(((NºAsuntos!I23/NºAsuntos!G23)*11)/factor_trimestre),((NºAsuntos!I23/NºAsuntos!G23)*11)/factor_trimestre," - ")</f>
        <v>3.2479327060165382</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507</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1</v>
      </c>
      <c r="B28" s="604" t="s">
        <v>508</v>
      </c>
      <c r="C28" s="7" t="str">
        <f>Datos!A28</f>
        <v xml:space="preserve">Jdos. de lo Social                              </v>
      </c>
      <c r="D28" s="566"/>
      <c r="E28" s="721">
        <f>IF(ISNUMBER(Datos!AQ28),Datos!AQ28," - ")</f>
        <v>1</v>
      </c>
      <c r="F28" s="556">
        <f>IF(ISNUMBER(Datos!L28+Datos!K28-Datos!J28),Datos!L28+Datos!K28-Datos!J28," - ")</f>
        <v>100</v>
      </c>
      <c r="G28" s="556">
        <f>IF(ISNUMBER(Datos!I28),Datos!I28," - ")</f>
        <v>90</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125</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f>IF(ISNUMBER(Datos!L28),Datos!L28,"-")</f>
        <v>118</v>
      </c>
      <c r="AB28" s="553"/>
      <c r="AC28" s="553"/>
      <c r="AD28" s="567"/>
      <c r="AE28" s="567">
        <f>IF(ISNUMBER(Datos!R28),Datos!R28," - ")</f>
        <v>20</v>
      </c>
      <c r="AF28" s="243" t="str">
        <f>IF(ISNUMBER(Datos!BV28),Datos!BV28," - ")</f>
        <v xml:space="preserve"> - </v>
      </c>
      <c r="AG28" s="556"/>
      <c r="AH28" s="557"/>
      <c r="AI28" s="558"/>
      <c r="AJ28" s="239">
        <f>IF(ISNUMBER(Datos!M28),Datos!M28," - ")</f>
        <v>260</v>
      </c>
      <c r="AK28" s="245">
        <f>IF(ISNUMBER(Datos!N28),Datos!N28," - ")</f>
        <v>101</v>
      </c>
      <c r="AL28" s="245" t="str">
        <f>IF(ISNUMBER(Datos!BW28),Datos!BW28," - ")</f>
        <v xml:space="preserve"> - </v>
      </c>
      <c r="AM28" s="246" t="str">
        <f>IF(ISNUMBER(Datos!BX28),Datos!BX28," - ")</f>
        <v xml:space="preserve"> - </v>
      </c>
      <c r="AN28" s="405"/>
      <c r="AO28" s="406">
        <f>IF(ISNUMBER(((Datos!L28/Datos!K28)*11)/factor_trimestre),((Datos!L28/Datos!K28)*11)/factor_trimestre," - ")</f>
        <v>2.1174551386623164</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508</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1</v>
      </c>
      <c r="F30" s="1200">
        <f t="shared" si="8"/>
        <v>100</v>
      </c>
      <c r="G30" s="1200">
        <f t="shared" si="8"/>
        <v>90</v>
      </c>
      <c r="H30" s="1214">
        <f t="shared" si="8"/>
        <v>0</v>
      </c>
      <c r="I30" s="1200">
        <f t="shared" si="8"/>
        <v>0</v>
      </c>
      <c r="J30" s="1170">
        <f t="shared" si="8"/>
        <v>0</v>
      </c>
      <c r="K30" s="1200">
        <f t="shared" si="8"/>
        <v>0</v>
      </c>
      <c r="L30" s="1200">
        <f t="shared" si="8"/>
        <v>0</v>
      </c>
      <c r="M30" s="1200">
        <f t="shared" si="8"/>
        <v>0</v>
      </c>
      <c r="N30" s="1200">
        <f t="shared" si="8"/>
        <v>125</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118</v>
      </c>
      <c r="AB30" s="1202">
        <f t="shared" si="9"/>
        <v>0</v>
      </c>
      <c r="AC30" s="1202">
        <f t="shared" si="9"/>
        <v>0</v>
      </c>
      <c r="AD30" s="1213">
        <f t="shared" si="9"/>
        <v>0</v>
      </c>
      <c r="AE30" s="1213">
        <f t="shared" si="9"/>
        <v>20</v>
      </c>
      <c r="AF30" s="1214">
        <f t="shared" si="9"/>
        <v>0</v>
      </c>
      <c r="AG30" s="1200">
        <f t="shared" si="9"/>
        <v>0</v>
      </c>
      <c r="AH30" s="1215">
        <f t="shared" si="9"/>
        <v>0</v>
      </c>
      <c r="AI30" s="1210">
        <f t="shared" si="9"/>
        <v>0</v>
      </c>
      <c r="AJ30" s="1200">
        <f t="shared" si="9"/>
        <v>260</v>
      </c>
      <c r="AK30" s="1214">
        <f t="shared" si="9"/>
        <v>101</v>
      </c>
      <c r="AL30" s="1201">
        <f t="shared" si="9"/>
        <v>0</v>
      </c>
      <c r="AM30" s="1210">
        <f t="shared" si="9"/>
        <v>0</v>
      </c>
      <c r="AN30" s="1206">
        <f>IF(ISNUMBER(NºAsuntos!G30/NºAsuntos!E30),NºAsuntos!G30/NºAsuntos!E30," - ")</f>
        <v>0.97147385103011097</v>
      </c>
      <c r="AO30" s="1222">
        <f>IF(ISNUMBER(((Datos!L30/Datos!K30)*11)/factor_trimestre),((Datos!L30/Datos!K30)*11)/factor_trimestre," - ")</f>
        <v>2.1174551386623164</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15</v>
      </c>
      <c r="F31" s="1120">
        <f t="shared" si="10"/>
        <v>2015</v>
      </c>
      <c r="G31" s="1120">
        <f t="shared" si="10"/>
        <v>2084</v>
      </c>
      <c r="H31" s="1121">
        <f t="shared" si="10"/>
        <v>0</v>
      </c>
      <c r="I31" s="1120">
        <f t="shared" si="10"/>
        <v>0</v>
      </c>
      <c r="J31" s="1122">
        <f t="shared" si="10"/>
        <v>0</v>
      </c>
      <c r="K31" s="1120">
        <f t="shared" si="10"/>
        <v>0</v>
      </c>
      <c r="L31" s="1123">
        <f t="shared" si="10"/>
        <v>0</v>
      </c>
      <c r="M31" s="1120">
        <f t="shared" si="10"/>
        <v>0</v>
      </c>
      <c r="N31" s="1121">
        <f t="shared" si="10"/>
        <v>1689</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7084</v>
      </c>
      <c r="Z31" s="1127">
        <f t="shared" si="11"/>
        <v>1375</v>
      </c>
      <c r="AA31" s="1128">
        <f t="shared" si="11"/>
        <v>2247</v>
      </c>
      <c r="AB31" s="1128">
        <f t="shared" si="11"/>
        <v>0</v>
      </c>
      <c r="AC31" s="1128">
        <f t="shared" si="11"/>
        <v>0</v>
      </c>
      <c r="AD31" s="1129">
        <f t="shared" si="11"/>
        <v>0</v>
      </c>
      <c r="AE31" s="1129">
        <f t="shared" si="11"/>
        <v>7279</v>
      </c>
      <c r="AF31" s="1130">
        <f t="shared" si="11"/>
        <v>0</v>
      </c>
      <c r="AG31" s="1131">
        <f t="shared" si="11"/>
        <v>0</v>
      </c>
      <c r="AH31" s="1132">
        <f t="shared" si="11"/>
        <v>0</v>
      </c>
      <c r="AI31" s="1130">
        <f t="shared" si="11"/>
        <v>0</v>
      </c>
      <c r="AJ31" s="1120">
        <f t="shared" si="11"/>
        <v>2820</v>
      </c>
      <c r="AK31" s="1120">
        <f t="shared" si="11"/>
        <v>7421</v>
      </c>
      <c r="AL31" s="1120">
        <f t="shared" si="11"/>
        <v>0</v>
      </c>
      <c r="AM31" s="1133">
        <f t="shared" si="11"/>
        <v>0</v>
      </c>
      <c r="AN31" s="1123">
        <f>IF(ISNUMBER(Datos!K31/Datos!J31),Datos!K31/Datos!J31," - ")</f>
        <v>0.95874802663188963</v>
      </c>
      <c r="AO31" s="1123">
        <f>IF(ISNUMBER(FIND("06",Criterios!A8,1)),(IF(ISNUMBER(((Datos!R31/Datos!Q31)*11)/factor_trimestre),((Datos!R31/Datos!Q31)*11)/factor_trimestre," - ")),(IF(ISNUMBER(((Datos!L31/Datos!K31)*11)/factor_trimestre),((Datos!L31/Datos!K31)*11)/factor_trimestre," - ")))</f>
        <v>6.3544530355097359</v>
      </c>
      <c r="AP31" s="1134" t="str">
        <f>IF(ISNUMBER(Datos!CI31/Datos!CJ31),Datos!CI31/Datos!CJ31," - ")</f>
        <v xml:space="preserve"> - </v>
      </c>
      <c r="AQ31" s="1134">
        <f>IF(OR(ISNUMBER(FIND("01",Criterios!A8,1)),ISNUMBER(FIND("02",Criterios!A8,1)),ISNUMBER(FIND("03",Criterios!A8,1)),ISNUMBER(FIND("04",Criterios!A8,1))),(J31-Y31+K31)/(F31-K31),(I31-Y31+K31)/(F31-K31))</f>
        <v>-3.5156327543424317</v>
      </c>
      <c r="AR31" s="1134">
        <f>IF(ISNUMBER((Datos!P31-Datos!Q31+O31)/(Datos!R31-Datos!P31+Datos!Q31-O31)),(Datos!P31-Datos!Q31+O31)/(Datos!R31-Datos!P31+Datos!Q31-O31)," - ")</f>
        <v>2.2331460674157304E-2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336</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521</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337</v>
      </c>
      <c r="D33" s="385"/>
      <c r="E33" s="719"/>
      <c r="F33" s="276">
        <f>IF(ISNUMBER(STDEV(F8:F30)),STDEV(F8:F30),"-")</f>
        <v>880.72559371723241</v>
      </c>
      <c r="G33" s="678">
        <f>IF(ISNUMBER(STDEV(G8:G30)),STDEV(G8:G30),"-")</f>
        <v>845.48278684852176</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589.74570791146925</v>
      </c>
      <c r="AK33" s="276"/>
      <c r="AL33" s="276">
        <f>IF(ISNUMBER(STDEV(AL8:AL30)),STDEV(AL8:AL30),"-")</f>
        <v>0</v>
      </c>
      <c r="AM33" s="278">
        <f>IF(ISNUMBER(STDEV(AM8:AM30)),STDEV(AM8:AM30),"-")</f>
        <v>0</v>
      </c>
      <c r="AN33" s="664">
        <f>IF(ISNUMBER(STDEV(AN8:AN30)),STDEV(AN8:AN30),"-")</f>
        <v>0.56088068940291702</v>
      </c>
      <c r="AO33" s="665">
        <f>IF(ISNUMBER(STDEV(AO8:AO30)),STDEV(AO8:AO30),"-")</f>
        <v>3.7860645723143262</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334</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335</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cFzyqr5sQlhCWfMejAIuv1ra7xFxThbwGRGxdzrl76E7O9xNxnRwmowvmrRUUp5TMBJYneVIhAqhW7zD193WXg==" saltValue="TNHILc0MFo3PYRfwMzUw1w=="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830</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831</v>
      </c>
      <c r="B4" s="1898" t="s">
        <v>941</v>
      </c>
      <c r="C4" s="1898" t="s">
        <v>832</v>
      </c>
      <c r="D4" s="1898" t="s">
        <v>899</v>
      </c>
      <c r="E4" s="1900" t="s">
        <v>900</v>
      </c>
      <c r="F4" s="1898" t="s">
        <v>833</v>
      </c>
      <c r="G4" s="1900" t="s">
        <v>592</v>
      </c>
      <c r="H4" s="1893" t="s">
        <v>834</v>
      </c>
      <c r="I4" s="1893" t="s">
        <v>835</v>
      </c>
      <c r="J4" s="1893" t="s">
        <v>836</v>
      </c>
      <c r="K4" s="1895" t="s">
        <v>344</v>
      </c>
      <c r="L4" s="1896"/>
      <c r="M4" s="1896"/>
      <c r="N4" s="1897"/>
      <c r="O4" s="1895" t="s">
        <v>587</v>
      </c>
      <c r="P4" s="1896"/>
      <c r="Q4" s="1896"/>
      <c r="R4" s="1897"/>
    </row>
    <row r="5" spans="1:18" ht="27.75" customHeight="1" thickBot="1">
      <c r="A5" s="1899"/>
      <c r="B5" s="1899"/>
      <c r="C5" s="1899"/>
      <c r="D5" s="1899"/>
      <c r="E5" s="1899"/>
      <c r="F5" s="1899"/>
      <c r="G5" s="1899"/>
      <c r="H5" s="1894"/>
      <c r="I5" s="1894"/>
      <c r="J5" s="1894"/>
      <c r="K5" s="1146" t="s">
        <v>588</v>
      </c>
      <c r="L5" s="1146" t="s">
        <v>589</v>
      </c>
      <c r="M5" s="1146" t="s">
        <v>590</v>
      </c>
      <c r="N5" s="1146" t="s">
        <v>591</v>
      </c>
      <c r="O5" s="1147" t="s">
        <v>588</v>
      </c>
      <c r="P5" s="1146" t="s">
        <v>589</v>
      </c>
      <c r="Q5" s="1146" t="s">
        <v>590</v>
      </c>
      <c r="R5" s="1146" t="s">
        <v>591</v>
      </c>
    </row>
  </sheetData>
  <sheetProtection algorithmName="SHA-512" hashValue="ZU211omOzXzklLM+eIj6qOMHo/b97yFwVFKRfGetmgtM/no7FaPIaPhwDumjIuBGUUVmUDb0f/l9CSVkbAOp2A==" saltValue="KdJCFBV4sryA7dP+DMq1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510</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293</v>
      </c>
      <c r="BK1" s="53" t="s">
        <v>298</v>
      </c>
      <c r="BL1" s="32" t="s">
        <v>299</v>
      </c>
      <c r="BM1" s="31" t="s">
        <v>304</v>
      </c>
      <c r="BN1" s="53" t="s">
        <v>328</v>
      </c>
      <c r="BO1" s="32" t="s">
        <v>329</v>
      </c>
      <c r="BP1" s="31" t="s">
        <v>330</v>
      </c>
      <c r="BQ1" s="53" t="s">
        <v>332</v>
      </c>
      <c r="BR1" s="32" t="s">
        <v>338</v>
      </c>
      <c r="BS1" s="31" t="s">
        <v>339</v>
      </c>
      <c r="BT1" s="53" t="s">
        <v>340</v>
      </c>
      <c r="BU1" s="32" t="s">
        <v>354</v>
      </c>
      <c r="BV1" s="31" t="s">
        <v>355</v>
      </c>
      <c r="BW1" s="53" t="s">
        <v>356</v>
      </c>
      <c r="BX1" s="32" t="s">
        <v>361</v>
      </c>
      <c r="BY1" s="31" t="s">
        <v>363</v>
      </c>
      <c r="BZ1" s="53" t="s">
        <v>372</v>
      </c>
      <c r="CA1" s="32" t="s">
        <v>373</v>
      </c>
      <c r="CB1" s="31" t="s">
        <v>458</v>
      </c>
      <c r="CC1" s="53" t="s">
        <v>461</v>
      </c>
      <c r="CD1" s="32" t="s">
        <v>463</v>
      </c>
      <c r="CE1" s="31" t="s">
        <v>473</v>
      </c>
      <c r="CF1" s="53" t="s">
        <v>474</v>
      </c>
      <c r="CG1" s="32" t="s">
        <v>475</v>
      </c>
      <c r="CH1" s="31" t="s">
        <v>476</v>
      </c>
      <c r="CI1" s="53" t="s">
        <v>500</v>
      </c>
      <c r="CJ1" s="32" t="s">
        <v>502</v>
      </c>
      <c r="CK1" s="31" t="s">
        <v>288</v>
      </c>
      <c r="CL1" s="53" t="s">
        <v>406</v>
      </c>
      <c r="CM1" s="32" t="s">
        <v>411</v>
      </c>
      <c r="CN1" s="31" t="s">
        <v>432</v>
      </c>
      <c r="CO1" s="53" t="s">
        <v>433</v>
      </c>
      <c r="CP1" s="32" t="s">
        <v>450</v>
      </c>
      <c r="CQ1" s="31" t="s">
        <v>451</v>
      </c>
      <c r="CR1" s="32" t="s">
        <v>452</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524</v>
      </c>
      <c r="DF1" s="32" t="s">
        <v>59</v>
      </c>
      <c r="DG1" s="31" t="s">
        <v>586</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345</v>
      </c>
      <c r="CF4" s="1775"/>
      <c r="CG4" s="1775"/>
      <c r="CH4" s="1776"/>
    </row>
    <row r="5" spans="1:151" ht="12.75" customHeight="1" thickBot="1">
      <c r="A5" s="1800" t="str">
        <f>"Año:  " &amp;Criterios!B5 &amp; "                  Trimestre   " &amp;Criterios!D5 &amp; " al " &amp;Criterios!D6</f>
        <v>Año:  2021                  Trimestre   1 al 4</v>
      </c>
      <c r="B5" s="1802" t="s">
        <v>511</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211</v>
      </c>
      <c r="AT5" s="1789" t="s">
        <v>212</v>
      </c>
      <c r="AU5" s="1789" t="s">
        <v>302</v>
      </c>
      <c r="AV5" s="1789" t="s">
        <v>300</v>
      </c>
      <c r="AW5" s="1789" t="s">
        <v>303</v>
      </c>
      <c r="AX5" s="1789" t="s">
        <v>301</v>
      </c>
      <c r="AY5" s="1783" t="s">
        <v>149</v>
      </c>
      <c r="AZ5" s="1836"/>
      <c r="BA5" s="1836"/>
      <c r="BB5" s="1836"/>
      <c r="BC5" s="1837"/>
      <c r="BD5" s="1783" t="s">
        <v>150</v>
      </c>
      <c r="BE5" s="1784"/>
      <c r="BF5" s="1784"/>
      <c r="BG5" s="1785"/>
      <c r="BH5" s="1777" t="s">
        <v>188</v>
      </c>
      <c r="BI5" s="1777" t="s">
        <v>189</v>
      </c>
      <c r="BJ5" s="1833" t="s">
        <v>269</v>
      </c>
      <c r="BK5" s="1794" t="s">
        <v>272</v>
      </c>
      <c r="BL5" s="1794" t="s">
        <v>279</v>
      </c>
      <c r="BM5" s="1830" t="s">
        <v>407</v>
      </c>
      <c r="BN5" s="1607" t="s">
        <v>258</v>
      </c>
      <c r="BO5" s="1608"/>
      <c r="BP5" s="1607" t="s">
        <v>259</v>
      </c>
      <c r="BQ5" s="1608"/>
      <c r="BR5" s="1607" t="s">
        <v>260</v>
      </c>
      <c r="BS5" s="1608"/>
      <c r="BT5" s="1607" t="s">
        <v>261</v>
      </c>
      <c r="BU5" s="1608"/>
      <c r="BV5" s="1791" t="s">
        <v>344</v>
      </c>
      <c r="BW5" s="1797" t="s">
        <v>322</v>
      </c>
      <c r="BX5" s="1797" t="s">
        <v>323</v>
      </c>
      <c r="BY5" s="1780" t="s">
        <v>331</v>
      </c>
      <c r="BZ5" s="1780" t="s">
        <v>457</v>
      </c>
      <c r="CA5" s="1767" t="s">
        <v>360</v>
      </c>
      <c r="CB5" s="1767" t="s">
        <v>351</v>
      </c>
      <c r="CC5" s="1767" t="s">
        <v>352</v>
      </c>
      <c r="CD5" s="1767" t="s">
        <v>353</v>
      </c>
      <c r="CE5" s="1755" t="s">
        <v>364</v>
      </c>
      <c r="CF5" s="1755" t="s">
        <v>343</v>
      </c>
      <c r="CG5" s="1755" t="s">
        <v>341</v>
      </c>
      <c r="CH5" s="1755" t="s">
        <v>342</v>
      </c>
      <c r="CI5" s="1771" t="s">
        <v>370</v>
      </c>
      <c r="CJ5" s="1771" t="s">
        <v>371</v>
      </c>
      <c r="CK5" s="1746" t="s">
        <v>541</v>
      </c>
      <c r="CL5" s="1746" t="s">
        <v>542</v>
      </c>
      <c r="CM5" s="1746" t="s">
        <v>580</v>
      </c>
      <c r="CN5" s="1768" t="s">
        <v>479</v>
      </c>
      <c r="CO5" s="1768" t="s">
        <v>472</v>
      </c>
      <c r="CP5" s="1768" t="s">
        <v>478</v>
      </c>
      <c r="CQ5" s="1761" t="s">
        <v>477</v>
      </c>
      <c r="CR5" s="1761" t="s">
        <v>477</v>
      </c>
      <c r="CS5" s="1755" t="s">
        <v>498</v>
      </c>
      <c r="CT5" s="1755" t="s">
        <v>501</v>
      </c>
      <c r="CU5" s="1755" t="s">
        <v>287</v>
      </c>
      <c r="CV5" s="1755" t="s">
        <v>399</v>
      </c>
      <c r="CW5" s="1755" t="s">
        <v>431</v>
      </c>
      <c r="CX5" s="1755" t="s">
        <v>442</v>
      </c>
      <c r="CY5" s="1755" t="s">
        <v>567</v>
      </c>
      <c r="CZ5" s="1755" t="s">
        <v>568</v>
      </c>
      <c r="DA5" s="1755" t="s">
        <v>569</v>
      </c>
      <c r="DB5" s="1727" t="s">
        <v>252</v>
      </c>
      <c r="DC5" s="1727" t="s">
        <v>253</v>
      </c>
      <c r="DD5" s="1727" t="s">
        <v>254</v>
      </c>
      <c r="DE5" s="1758" t="s">
        <v>225</v>
      </c>
      <c r="DF5" s="1758" t="s">
        <v>523</v>
      </c>
      <c r="DG5" s="1755" t="s">
        <v>582</v>
      </c>
      <c r="DH5" s="1746" t="s">
        <v>541</v>
      </c>
      <c r="DI5" s="1746" t="s">
        <v>542</v>
      </c>
      <c r="DJ5" s="1746" t="s">
        <v>579</v>
      </c>
      <c r="DK5" s="1746" t="s">
        <v>633</v>
      </c>
      <c r="DL5" s="1746" t="s">
        <v>637</v>
      </c>
      <c r="DM5" s="1745" t="s">
        <v>709</v>
      </c>
      <c r="DN5" s="1745" t="s">
        <v>710</v>
      </c>
      <c r="DO5" s="1745" t="s">
        <v>711</v>
      </c>
      <c r="DP5" s="1745" t="s">
        <v>712</v>
      </c>
      <c r="DQ5" s="1745" t="s">
        <v>713</v>
      </c>
      <c r="DR5" s="1745" t="s">
        <v>714</v>
      </c>
      <c r="DS5" s="1745" t="s">
        <v>715</v>
      </c>
      <c r="DT5" s="1745" t="s">
        <v>716</v>
      </c>
      <c r="DU5" s="1764" t="s">
        <v>717</v>
      </c>
      <c r="DV5" s="1752" t="s">
        <v>718</v>
      </c>
      <c r="DW5" s="1749" t="s">
        <v>719</v>
      </c>
      <c r="DX5" s="1745" t="s">
        <v>720</v>
      </c>
      <c r="DY5" s="1733" t="s">
        <v>721</v>
      </c>
      <c r="DZ5" s="1749" t="s">
        <v>722</v>
      </c>
      <c r="EA5" s="1733" t="s">
        <v>723</v>
      </c>
      <c r="EB5" s="1742" t="s">
        <v>783</v>
      </c>
      <c r="EC5" s="1742" t="s">
        <v>784</v>
      </c>
      <c r="ED5" s="1742" t="s">
        <v>785</v>
      </c>
      <c r="EE5" s="1742" t="s">
        <v>825</v>
      </c>
      <c r="EF5" s="1742" t="s">
        <v>829</v>
      </c>
      <c r="EG5" s="1733" t="s">
        <v>827</v>
      </c>
      <c r="EH5" s="1733" t="s">
        <v>828</v>
      </c>
      <c r="EI5" s="1733" t="s">
        <v>787</v>
      </c>
      <c r="EJ5" s="1733" t="s">
        <v>788</v>
      </c>
      <c r="EK5" s="1730" t="s">
        <v>876</v>
      </c>
      <c r="EL5" s="1736" t="s">
        <v>894</v>
      </c>
      <c r="EM5" s="1737"/>
      <c r="EN5" s="1738"/>
      <c r="EO5" s="1727" t="s">
        <v>1000</v>
      </c>
      <c r="EP5" s="1727" t="s">
        <v>1002</v>
      </c>
      <c r="EQ5" s="1727" t="s">
        <v>1003</v>
      </c>
      <c r="ER5" s="1727" t="s">
        <v>1017</v>
      </c>
      <c r="ES5" s="1727" t="s">
        <v>1019</v>
      </c>
      <c r="ET5" s="1724" t="s">
        <v>1136</v>
      </c>
      <c r="EU5" s="1724" t="s">
        <v>1137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218</v>
      </c>
      <c r="BO6" s="1605" t="s">
        <v>219</v>
      </c>
      <c r="BP6" s="1605" t="s">
        <v>218</v>
      </c>
      <c r="BQ6" s="1605" t="s">
        <v>219</v>
      </c>
      <c r="BR6" s="1605" t="s">
        <v>218</v>
      </c>
      <c r="BS6" s="1605" t="s">
        <v>219</v>
      </c>
      <c r="BT6" s="1605" t="s">
        <v>218</v>
      </c>
      <c r="BU6" s="1605" t="s">
        <v>219</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999</v>
      </c>
      <c r="B7" s="1804"/>
      <c r="C7" s="1807"/>
      <c r="D7" s="69" t="s">
        <v>512</v>
      </c>
      <c r="E7" s="70" t="s">
        <v>167</v>
      </c>
      <c r="F7" s="70" t="s">
        <v>166</v>
      </c>
      <c r="G7" s="131" t="s">
        <v>48</v>
      </c>
      <c r="H7" s="132" t="s">
        <v>513</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895</v>
      </c>
      <c r="EM7" s="854" t="s">
        <v>126</v>
      </c>
      <c r="EN7" s="854" t="s">
        <v>127</v>
      </c>
      <c r="EO7" s="1729"/>
      <c r="EP7" s="1729"/>
      <c r="EQ7" s="1729"/>
      <c r="ER7" s="1729"/>
      <c r="ES7" s="1729"/>
      <c r="ET7" s="1726"/>
      <c r="EU7" s="1726"/>
    </row>
    <row r="8" spans="1:151" ht="14.25" customHeight="1" thickBot="1">
      <c r="A8" s="73" t="s">
        <v>142</v>
      </c>
      <c r="B8" s="151" t="s">
        <v>514</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6" t="s">
        <v>595</v>
      </c>
      <c r="DK8" s="536" t="s">
        <v>634</v>
      </c>
      <c r="DL8" s="536" t="s">
        <v>635</v>
      </c>
      <c r="DM8" s="536" t="s">
        <v>724</v>
      </c>
      <c r="DN8" s="536" t="s">
        <v>725</v>
      </c>
      <c r="DO8" s="536" t="s">
        <v>726</v>
      </c>
      <c r="DP8" s="536" t="s">
        <v>727</v>
      </c>
      <c r="DQ8" s="536" t="s">
        <v>728</v>
      </c>
      <c r="DR8" s="536" t="s">
        <v>729</v>
      </c>
      <c r="DS8" s="536" t="s">
        <v>730</v>
      </c>
      <c r="DT8" s="536" t="s">
        <v>731</v>
      </c>
      <c r="DU8" s="542" t="s">
        <v>732</v>
      </c>
      <c r="DV8" s="536" t="s">
        <v>733</v>
      </c>
      <c r="DW8" s="536" t="s">
        <v>734</v>
      </c>
      <c r="DX8" s="536" t="s">
        <v>735</v>
      </c>
      <c r="DY8" s="536" t="s">
        <v>736</v>
      </c>
      <c r="DZ8" s="536" t="s">
        <v>737</v>
      </c>
      <c r="EA8" s="536" t="s">
        <v>738</v>
      </c>
      <c r="EB8" s="536" t="s">
        <v>795</v>
      </c>
      <c r="EC8" s="536" t="s">
        <v>796</v>
      </c>
      <c r="ED8" s="536" t="s">
        <v>797</v>
      </c>
      <c r="EE8" s="536" t="s">
        <v>798</v>
      </c>
      <c r="EF8" s="536" t="s">
        <v>799</v>
      </c>
      <c r="EG8" s="536" t="s">
        <v>800</v>
      </c>
      <c r="EH8" s="536" t="s">
        <v>801</v>
      </c>
      <c r="EI8" s="536" t="s">
        <v>802</v>
      </c>
      <c r="EJ8" s="536" t="s">
        <v>803</v>
      </c>
      <c r="EK8" s="536" t="s">
        <v>877</v>
      </c>
      <c r="EL8" s="855" t="s">
        <v>896</v>
      </c>
      <c r="EM8" s="855" t="s">
        <v>897</v>
      </c>
      <c r="EN8" s="855" t="s">
        <v>898</v>
      </c>
      <c r="EO8" s="53" t="s">
        <v>1001</v>
      </c>
      <c r="EP8" s="53" t="s">
        <v>1007</v>
      </c>
      <c r="EQ8" s="53" t="s">
        <v>1008</v>
      </c>
      <c r="ER8" s="53" t="s">
        <v>1018</v>
      </c>
      <c r="ES8" s="536" t="s">
        <v>1020</v>
      </c>
      <c r="ET8" s="1522" t="s">
        <v>1138</v>
      </c>
      <c r="EU8" s="1522" t="s">
        <v>1139</v>
      </c>
    </row>
    <row r="9" spans="1:151" ht="14.25" customHeight="1">
      <c r="A9" s="20" t="s">
        <v>69</v>
      </c>
      <c r="B9" s="21" t="s">
        <v>514</v>
      </c>
      <c r="C9" s="22" t="s">
        <v>8</v>
      </c>
      <c r="D9" s="23" t="s">
        <v>25</v>
      </c>
      <c r="E9" s="21" t="s">
        <v>26</v>
      </c>
      <c r="F9" s="21">
        <v>32</v>
      </c>
      <c r="G9" s="6"/>
      <c r="H9" s="146" t="s">
        <v>315</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184</v>
      </c>
      <c r="B10" s="21" t="s">
        <v>514</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515</v>
      </c>
      <c r="B11" s="21" t="s">
        <v>514</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516</v>
      </c>
      <c r="B12" s="21" t="s">
        <v>514</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139</v>
      </c>
      <c r="B13" s="21" t="s">
        <v>514</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514</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141</v>
      </c>
      <c r="B15" s="85" t="s">
        <v>514</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517</v>
      </c>
      <c r="B16" s="21" t="s">
        <v>514</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516</v>
      </c>
      <c r="B17" s="21" t="s">
        <v>514</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184</v>
      </c>
      <c r="B18" s="21" t="s">
        <v>514</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518</v>
      </c>
      <c r="B19" s="21" t="s">
        <v>514</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519</v>
      </c>
      <c r="B20" s="21" t="s">
        <v>514</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520</v>
      </c>
      <c r="B21" s="21" t="s">
        <v>514</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521</v>
      </c>
      <c r="B22" s="21" t="s">
        <v>514</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514</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514</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514</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514</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514</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514</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514</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514</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aOwEtg4JR9ujbZ+bT2JPJojitLhXIdwoBV8Vx417Hv2gi1IAA10NjJZlttJId6vgZE6e0QLuHUi6btoW6EF49Q==" saltValue="WptctPtPmLhaoOdSTwtfUg=="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CANARIAS</v>
      </c>
      <c r="F1" s="859"/>
    </row>
    <row r="2" spans="1:72" ht="16.5" customHeight="1">
      <c r="C2" s="571" t="str">
        <f>Criterios!A10 &amp;"  "&amp;Criterios!B10 &amp; "  " &amp; IF(NOT(ISBLANK(Criterios!A11)),Criterios!A11 &amp;"  "&amp;Criterios!B11,"")</f>
        <v>Provincias  LAS PALMAS  Resumenes por Partidos Judiciales  PUERTO DEL ROSARIO</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460</v>
      </c>
      <c r="B5" s="297"/>
      <c r="C5" s="1642" t="str">
        <f>"Año:  " &amp;Criterios!B$5 &amp; "          Trimestre   " &amp;Criterios!D$5 &amp; " al " &amp;Criterios!D$6</f>
        <v>Año:  2021          Trimestre   1 al 4</v>
      </c>
      <c r="D5" s="1847" t="s">
        <v>486</v>
      </c>
      <c r="E5" s="1847" t="s">
        <v>752</v>
      </c>
      <c r="F5" s="1885" t="s">
        <v>522</v>
      </c>
      <c r="G5" s="1847" t="s">
        <v>169</v>
      </c>
      <c r="H5" s="1847" t="s">
        <v>785</v>
      </c>
      <c r="I5" s="1847" t="s">
        <v>753</v>
      </c>
      <c r="J5" s="1847" t="s">
        <v>870</v>
      </c>
      <c r="K5" s="1847" t="s">
        <v>754</v>
      </c>
      <c r="L5" s="1847" t="s">
        <v>709</v>
      </c>
      <c r="M5" s="1877" t="s">
        <v>783</v>
      </c>
      <c r="N5" s="1847" t="s">
        <v>927</v>
      </c>
      <c r="O5" s="1847" t="s">
        <v>886</v>
      </c>
      <c r="P5" s="1847" t="s">
        <v>225</v>
      </c>
      <c r="Q5" s="1880" t="s">
        <v>882</v>
      </c>
      <c r="R5" s="1880" t="s">
        <v>928</v>
      </c>
      <c r="S5" s="1847" t="s">
        <v>786</v>
      </c>
      <c r="T5" s="1880" t="s">
        <v>755</v>
      </c>
      <c r="U5" s="1880" t="s">
        <v>1045</v>
      </c>
      <c r="V5" s="1880" t="s">
        <v>1046</v>
      </c>
      <c r="W5" s="1850" t="s">
        <v>811</v>
      </c>
      <c r="X5" s="1853" t="s">
        <v>756</v>
      </c>
      <c r="Y5" s="1850" t="s">
        <v>757</v>
      </c>
      <c r="Z5" s="1850" t="s">
        <v>758</v>
      </c>
      <c r="AA5" s="1847" t="s">
        <v>887</v>
      </c>
      <c r="AB5" s="1847" t="s">
        <v>893</v>
      </c>
      <c r="AC5" s="1847" t="s">
        <v>239</v>
      </c>
      <c r="AD5" s="1862" t="s">
        <v>237</v>
      </c>
      <c r="AE5" s="1847" t="s">
        <v>888</v>
      </c>
      <c r="AF5" s="1865" t="s">
        <v>889</v>
      </c>
      <c r="AG5" s="1868" t="s">
        <v>718</v>
      </c>
      <c r="AH5" s="1847" t="s">
        <v>719</v>
      </c>
      <c r="AI5" s="1847" t="s">
        <v>809</v>
      </c>
      <c r="AJ5" s="1871" t="s">
        <v>810</v>
      </c>
      <c r="AK5" s="1868" t="s">
        <v>240</v>
      </c>
      <c r="AL5" s="1847" t="s">
        <v>762</v>
      </c>
      <c r="AM5" s="1847" t="s">
        <v>317</v>
      </c>
      <c r="AN5" s="1847" t="s">
        <v>318</v>
      </c>
      <c r="AO5" s="1847" t="s">
        <v>319</v>
      </c>
      <c r="AP5" s="1847" t="s">
        <v>763</v>
      </c>
      <c r="AQ5" s="1847" t="s">
        <v>320</v>
      </c>
      <c r="AR5" s="1847" t="s">
        <v>764</v>
      </c>
      <c r="AS5" s="1847" t="s">
        <v>765</v>
      </c>
      <c r="AT5" s="1847" t="s">
        <v>766</v>
      </c>
      <c r="AU5" s="1847" t="s">
        <v>794</v>
      </c>
      <c r="AV5" s="1847" t="s">
        <v>787</v>
      </c>
      <c r="AW5" s="1847" t="s">
        <v>431</v>
      </c>
      <c r="AX5" s="1847" t="s">
        <v>788</v>
      </c>
      <c r="AY5" s="1847" t="s">
        <v>767</v>
      </c>
      <c r="AZ5" s="1847" t="s">
        <v>717</v>
      </c>
      <c r="BT5" s="1847" t="s">
        <v>1047</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316</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316</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316</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316</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316</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0.21249631594459181</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506</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506</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506</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506</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506</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506</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506</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507</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508</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508</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336</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337</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0.15025758598157996</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540</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334</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335</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6N1cwSREDw3K+GRznpo8MWOz+Q6vVFweCL3laTZGwF2Ul/0ps++D7AYiAf3bYC2tSqN8ys2ayNnrssfAYNxCFg==" saltValue="SLz8o6EeIRBCsFkoQJUbOw=="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1132</v>
      </c>
    </row>
    <row r="3" spans="2:5" ht="16.5" customHeight="1" thickBot="1">
      <c r="B3" s="1521" t="s">
        <v>1133</v>
      </c>
      <c r="C3" s="1521" t="s">
        <v>1134</v>
      </c>
      <c r="D3" s="1521" t="s">
        <v>1135</v>
      </c>
      <c r="E3" s="1530" t="s">
        <v>1140</v>
      </c>
    </row>
  </sheetData>
  <sheetProtection algorithmName="SHA-512" hashValue="d98N9HwVAqKyKW3uF4LmF5ryVksNg2VNL3742WfB//JOPDh0LDpRCRAZon7Mp6zTEmdfOUNHjt68HJ0TBX14FA==" saltValue="jYVColIU2dyosinYrkI3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CANARIAS</v>
      </c>
      <c r="C2" s="437"/>
      <c r="D2" s="437"/>
      <c r="E2" s="437"/>
      <c r="F2" s="437"/>
    </row>
    <row r="3" spans="1:14" ht="19.5">
      <c r="A3" s="439" t="s">
        <v>156</v>
      </c>
      <c r="B3" s="440" t="str">
        <f>Criterios!A10 &amp;"  "&amp;Criterios!B10</f>
        <v>Provincias  LAS PALMAS</v>
      </c>
      <c r="D3" s="437"/>
      <c r="E3" s="437"/>
      <c r="F3" s="437"/>
    </row>
    <row r="4" spans="1:14" ht="13.5" thickBot="1">
      <c r="A4" s="437"/>
      <c r="B4" s="440" t="str">
        <f>Criterios!A11 &amp;"  "&amp;Criterios!B11</f>
        <v>Resumenes por Partidos Judiciales  PUERTO DEL ROSARIO</v>
      </c>
      <c r="C4" s="437"/>
      <c r="D4" s="437"/>
      <c r="E4" s="437"/>
      <c r="F4" s="437"/>
    </row>
    <row r="5" spans="1:14" ht="15.75" customHeight="1">
      <c r="A5" s="1553" t="str">
        <f>"Año:  " &amp;Criterios!B5 &amp; "     Trimestre   " &amp;Criterios!D5 &amp; " al " &amp;Criterios!D6</f>
        <v>Año:  2021     Trimestre   1 al 4</v>
      </c>
      <c r="B5" s="1084" t="s">
        <v>157</v>
      </c>
      <c r="C5" s="1555" t="s">
        <v>169</v>
      </c>
      <c r="D5" s="1556"/>
      <c r="E5" s="1555" t="s">
        <v>123</v>
      </c>
      <c r="F5" s="1556"/>
      <c r="G5" s="1555" t="s">
        <v>14</v>
      </c>
      <c r="H5" s="1556"/>
      <c r="I5" s="1555" t="s">
        <v>170</v>
      </c>
      <c r="J5" s="1556"/>
      <c r="K5" s="1562" t="s">
        <v>1006</v>
      </c>
      <c r="L5" s="1546" t="s">
        <v>1069</v>
      </c>
      <c r="M5" s="1546" t="s">
        <v>1004</v>
      </c>
      <c r="N5" s="1549" t="s">
        <v>1005</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999</v>
      </c>
      <c r="B7" s="442" t="s">
        <v>158</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61</v>
      </c>
      <c r="D10" s="453">
        <f>IF(ISNUMBER(C10/Datos!BH10),C10/Datos!BH10," - ")</f>
        <v>61</v>
      </c>
      <c r="E10" s="452">
        <f>IF(ISNUMBER(Datos!J10),Datos!J10," - ")</f>
        <v>77</v>
      </c>
      <c r="F10" s="453">
        <f>IF(ISNUMBER(E10/B10),E10/B10," - ")</f>
        <v>77</v>
      </c>
      <c r="G10" s="452">
        <f>IF(ISNUMBER(Datos!K10),Datos!K10," - ")</f>
        <v>70</v>
      </c>
      <c r="H10" s="453">
        <f>IF(ISNUMBER(G10/B10),G10/B10," - ")</f>
        <v>70</v>
      </c>
      <c r="I10" s="452">
        <f>IF(ISNUMBER(Datos!L10),Datos!L10," - ")</f>
        <v>58</v>
      </c>
      <c r="J10" s="453">
        <f>IF(ISNUMBER(I10/B10),I10/B10," - ")</f>
        <v>58</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7</v>
      </c>
      <c r="C12" s="452">
        <f>IF(ISNUMBER(IF(J_V="SI",Datos!I12,Datos!I12+Datos!Y12)),IF(J_V="SI",Datos!I12,Datos!I12+Datos!Y12)," - ")</f>
        <v>5578</v>
      </c>
      <c r="D12" s="453">
        <f>IF(ISNUMBER(C12/Datos!BH12),C12/Datos!BH12," - ")</f>
        <v>796.85714285714289</v>
      </c>
      <c r="E12" s="452">
        <f>IF(ISNUMBER(IF(J_V="SI",Datos!J12,Datos!J12+Datos!Z12)),IF(J_V="SI",Datos!J12,Datos!J12+Datos!Z12)," - ")</f>
        <v>7145</v>
      </c>
      <c r="F12" s="453">
        <f>IF(ISNUMBER(E12/B12),E12/B12," - ")</f>
        <v>1020.7142857142857</v>
      </c>
      <c r="G12" s="452">
        <f>IF(ISNUMBER(IF(J_V="SI",Datos!K12,Datos!K12+Datos!AA12)),IF(J_V="SI",Datos!K12,Datos!K12+Datos!AA12)," - ")</f>
        <v>6716</v>
      </c>
      <c r="H12" s="453">
        <f>IF(ISNUMBER(G12/B12),G12/B12," - ")</f>
        <v>959.42857142857144</v>
      </c>
      <c r="I12" s="452">
        <f>IF(ISNUMBER(IF(J_V="SI",Datos!L12,Datos!L12+Datos!AB12)),IF(J_V="SI",Datos!L12,Datos!L12+Datos!AB12)," - ")</f>
        <v>5921</v>
      </c>
      <c r="J12" s="453">
        <f>IF(ISNUMBER(I12/B12),I12/B12," - ")</f>
        <v>845.85714285714289</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7</v>
      </c>
      <c r="C14" s="1149">
        <f>SUBTOTAL(9,C8:C13)</f>
        <v>5639</v>
      </c>
      <c r="D14" s="1150" t="str">
        <f>IF(ISNUMBER(C14/Datos!BI14),C14/Datos!BI14," - ")</f>
        <v xml:space="preserve"> - </v>
      </c>
      <c r="E14" s="1149">
        <f>SUBTOTAL(9,E8:E13)</f>
        <v>7222</v>
      </c>
      <c r="F14" s="1150">
        <f>IF(ISNUMBER(E14/B14),E14/B14," - ")</f>
        <v>1031.7142857142858</v>
      </c>
      <c r="G14" s="1149">
        <f>SUBTOTAL(9,G8:G13)</f>
        <v>6786</v>
      </c>
      <c r="H14" s="1150">
        <f>IF(ISNUMBER(G14/B14),G14/B14," - ")</f>
        <v>969.42857142857144</v>
      </c>
      <c r="I14" s="1149">
        <f>SUBTOTAL(9,I8:I13)</f>
        <v>5979</v>
      </c>
      <c r="J14" s="1150">
        <f>IF(ISNUMBER(I14/B14),I14/B14," - ")</f>
        <v>854.14285714285711</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7</v>
      </c>
      <c r="C17" s="452">
        <f>IF(ISNUMBER(IF(D_I="SI",Datos!I17,Datos!I17+Datos!AC17)),IF(D_I="SI",Datos!I17,Datos!I17+Datos!AC17)," - ")</f>
        <v>1846</v>
      </c>
      <c r="D17" s="453">
        <f>IF(ISNUMBER(C17/Datos!BH17),C17/Datos!BH17," - ")</f>
        <v>263.71428571428572</v>
      </c>
      <c r="E17" s="452">
        <f>IF(ISNUMBER(IF(D_I="SI",Datos!J17,Datos!J17+Datos!AD17)),IF(D_I="SI",Datos!J17,Datos!J17+Datos!AD17)," - ")</f>
        <v>6373</v>
      </c>
      <c r="F17" s="453">
        <f>IF(ISNUMBER(E17/B17),E17/B17," - ")</f>
        <v>910.42857142857144</v>
      </c>
      <c r="G17" s="452">
        <f>IF(ISNUMBER(IF(D_I="SI",Datos!K17,Datos!K17+Datos!AE17)),IF(D_I="SI",Datos!K17,Datos!K17+Datos!AE17)," - ")</f>
        <v>6224</v>
      </c>
      <c r="H17" s="453">
        <f>IF(ISNUMBER(G17/B17),G17/B17," - ")</f>
        <v>889.14285714285711</v>
      </c>
      <c r="I17" s="452">
        <f>IF(ISNUMBER(IF(D_I="SI",Datos!L17,Datos!L17+Datos!AF17)),IF(D_I="SI",Datos!L17,Datos!L17+Datos!AF17)," - ")</f>
        <v>2013</v>
      </c>
      <c r="J17" s="453">
        <f>IF(ISNUMBER(I17/B17),I17/B17," - ")</f>
        <v>287.57142857142856</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87</v>
      </c>
      <c r="D18" s="453">
        <f>IF(ISNUMBER(C18/Datos!BH18),C18/Datos!BH18," - ")</f>
        <v>87</v>
      </c>
      <c r="E18" s="452">
        <f>IF(ISNUMBER(IF(D_I="SI",Datos!J18,Datos!J18+Datos!AD18)),IF(D_I="SI",Datos!J18,Datos!J18+Datos!AD18)," - ")</f>
        <v>741</v>
      </c>
      <c r="F18" s="453">
        <f>IF(ISNUMBER(E18/B18),E18/B18," - ")</f>
        <v>741</v>
      </c>
      <c r="G18" s="452">
        <f>IF(ISNUMBER(IF(D_I="SI",Datos!K18,Datos!K18+Datos!AE18)),IF(D_I="SI",Datos!K18,Datos!K18+Datos!AE18)," - ")</f>
        <v>790</v>
      </c>
      <c r="H18" s="453">
        <f>IF(ISNUMBER(G18/B18),G18/B18," - ")</f>
        <v>790</v>
      </c>
      <c r="I18" s="452">
        <f>IF(ISNUMBER(IF(D_I="SI",Datos!L18,Datos!L18+Datos!AF18)),IF(D_I="SI",Datos!L18,Datos!L18+Datos!AF18)," - ")</f>
        <v>58</v>
      </c>
      <c r="J18" s="453">
        <f>IF(ISNUMBER(I18/B18),I18/B18," - ")</f>
        <v>58</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7</v>
      </c>
      <c r="C23" s="1149">
        <f>SUBTOTAL(9,C15:C22)</f>
        <v>1933</v>
      </c>
      <c r="D23" s="1150" t="str">
        <f>IF(ISNUMBER(C23/Datos!BI23),C23/Datos!BI23," - ")</f>
        <v xml:space="preserve"> - </v>
      </c>
      <c r="E23" s="1149">
        <f>SUBTOTAL(9,E15:E22)</f>
        <v>7114</v>
      </c>
      <c r="F23" s="1150">
        <f>IF(ISNUMBER(E23/B23),E23/B23," - ")</f>
        <v>1016.2857142857143</v>
      </c>
      <c r="G23" s="1149">
        <f>SUBTOTAL(9,G15:G22)</f>
        <v>7014</v>
      </c>
      <c r="H23" s="1150">
        <f>IF(ISNUMBER(G23/B23),G23/B23," - ")</f>
        <v>1002</v>
      </c>
      <c r="I23" s="1149">
        <f>SUBTOTAL(9,I15:I22)</f>
        <v>2071</v>
      </c>
      <c r="J23" s="1150">
        <f>IF(ISNUMBER(I23/B23),I23/B23," - ")</f>
        <v>295.85714285714283</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1</v>
      </c>
      <c r="C28" s="452">
        <f>IF(ISNUMBER(Datos!I28),Datos!I28," - ")</f>
        <v>90</v>
      </c>
      <c r="D28" s="453">
        <f>IF(ISNUMBER(C28/Datos!BH28),C28/Datos!BH28," - ")</f>
        <v>90</v>
      </c>
      <c r="E28" s="452">
        <f>IF(ISNUMBER(Datos!J28),Datos!J28," - ")</f>
        <v>631</v>
      </c>
      <c r="F28" s="453">
        <f>IF(ISNUMBER(E28/B28),E28/B28," - ")</f>
        <v>631</v>
      </c>
      <c r="G28" s="452">
        <f>IF(ISNUMBER(Datos!K28),Datos!K28," - ")</f>
        <v>613</v>
      </c>
      <c r="H28" s="453">
        <f>IF(ISNUMBER(G28/B28),G28/B28," - ")</f>
        <v>613</v>
      </c>
      <c r="I28" s="452">
        <f>IF(ISNUMBER(Datos!L28),Datos!L28," - ")</f>
        <v>118</v>
      </c>
      <c r="J28" s="453">
        <f>IF(ISNUMBER(I28/B28),I28/B28," - ")</f>
        <v>118</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1</v>
      </c>
      <c r="C30" s="1149">
        <f>SUBTOTAL(9,C28:C29)</f>
        <v>90</v>
      </c>
      <c r="D30" s="1150" t="str">
        <f>IF(ISNUMBER(C30/Datos!BI30),C30/Datos!BI30," - ")</f>
        <v xml:space="preserve"> - </v>
      </c>
      <c r="E30" s="1149">
        <f>SUBTOTAL(9,E28:E29)</f>
        <v>631</v>
      </c>
      <c r="F30" s="1150">
        <f>IF(ISNUMBER(E30/B30),E30/B30," - ")</f>
        <v>631</v>
      </c>
      <c r="G30" s="1149">
        <f>SUBTOTAL(9,G28:G29)</f>
        <v>613</v>
      </c>
      <c r="H30" s="1150">
        <f>IF(ISNUMBER(G30/B30),G30/B30," - ")</f>
        <v>613</v>
      </c>
      <c r="I30" s="1149">
        <f>SUBTOTAL(9,I28:I29)</f>
        <v>118</v>
      </c>
      <c r="J30" s="1150">
        <f>IF(ISNUMBER(I30/B30),I30/B30," - ")</f>
        <v>118</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8</v>
      </c>
      <c r="C31" s="1087">
        <f>SUBTOTAL(9,C9:C30)</f>
        <v>7662</v>
      </c>
      <c r="D31" s="1088" t="str">
        <f>IF(ISNUMBER(C31/Datos!BI31),C31/Datos!BI31," - ")</f>
        <v xml:space="preserve"> - </v>
      </c>
      <c r="E31" s="1087">
        <f>SUBTOTAL(9,E9:E30)</f>
        <v>14967</v>
      </c>
      <c r="F31" s="1088">
        <f>IF(ISNUMBER(E31/B31),E31/B31," - ")</f>
        <v>1870.875</v>
      </c>
      <c r="G31" s="1087">
        <f>SUBTOTAL(9,G9:G30)</f>
        <v>14413</v>
      </c>
      <c r="H31" s="1088">
        <f>IF(ISNUMBER(G31/B31),G31/B31," - ")</f>
        <v>1801.625</v>
      </c>
      <c r="I31" s="1087">
        <f>SUBTOTAL(9,I9:I30)</f>
        <v>8168</v>
      </c>
      <c r="J31" s="1088">
        <f>IF(ISNUMBER(I31/B31),I31/B31," - ")</f>
        <v>1021</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j2rcSUwwAODDqSqIfwXAEF2oYLHsextEZtKNvcbPs3ievaEQEskKgQUFjijky1nPKzNSxYNHJIEh3c9N8taqVw==" saltValue="3yMe4cD8fDibiDwueTF0a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CANARIAS</v>
      </c>
      <c r="F1" s="859"/>
      <c r="W1"/>
      <c r="X1"/>
      <c r="BD1" s="859"/>
    </row>
    <row r="2" spans="1:64" ht="16.5" customHeight="1">
      <c r="C2" s="571" t="str">
        <f>Criterios!A10 &amp;"  "&amp;Criterios!B10 &amp; "  " &amp; IF(NOT(ISBLANK(Criterios!A11)),Criterios!A11 &amp;"  "&amp;Criterios!B11,"")</f>
        <v>Provincias  LAS PALMAS  Resumenes por Partidos Judiciales  PUERTO DEL ROSARIO</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460</v>
      </c>
      <c r="B5" s="297"/>
      <c r="C5" s="1642" t="str">
        <f>"Año:  " &amp;Criterios!B$5 &amp; "          Trimestre   " &amp;Criterios!D$5 &amp; " al " &amp;Criterios!D$6</f>
        <v>Año:  2021          Trimestre   1 al 4</v>
      </c>
      <c r="D5" s="1847" t="s">
        <v>540</v>
      </c>
      <c r="E5" s="1847" t="s">
        <v>752</v>
      </c>
      <c r="F5" s="1885" t="s">
        <v>522</v>
      </c>
      <c r="G5" s="1847" t="s">
        <v>169</v>
      </c>
      <c r="H5" s="1847" t="s">
        <v>901</v>
      </c>
      <c r="I5" s="1847" t="s">
        <v>902</v>
      </c>
      <c r="J5" s="1847" t="s">
        <v>905</v>
      </c>
      <c r="K5" s="1847" t="s">
        <v>906</v>
      </c>
      <c r="L5" s="1847" t="s">
        <v>783</v>
      </c>
      <c r="M5" s="1847" t="s">
        <v>927</v>
      </c>
      <c r="N5" s="1847" t="s">
        <v>907</v>
      </c>
      <c r="O5" s="1847" t="s">
        <v>903</v>
      </c>
      <c r="P5" s="1847" t="s">
        <v>225</v>
      </c>
      <c r="Q5" s="1847" t="s">
        <v>882</v>
      </c>
      <c r="R5" s="1847" t="s">
        <v>928</v>
      </c>
      <c r="S5" s="1847" t="str">
        <f>"Ingreso Computable 2003" &amp; IF(OR(EXACT(LEFT(boletin,2),"04"),EXACT(LEFT(boletin,2),"14"),EXACT(LEFT(boletin,2),"17"))," (Civil + Penal)","")</f>
        <v>Ingreso Computable 2003</v>
      </c>
      <c r="T5" s="1847" t="s">
        <v>904</v>
      </c>
      <c r="U5" s="1880" t="str">
        <f>"% Ingreso Computable 2003" &amp; IF(OR(EXACT(LEFT(boletin,2),"04"),EXACT(LEFT(boletin,2),"14"),EXACT(LEFT(boletin,2),"17"))," (Civil + Penal)","")</f>
        <v>% Ingreso Computable 2003</v>
      </c>
      <c r="V5" s="1880" t="s">
        <v>908</v>
      </c>
      <c r="W5" s="1847" t="s">
        <v>1039</v>
      </c>
      <c r="X5" s="1847" t="s">
        <v>1040</v>
      </c>
      <c r="Y5" s="1859" t="s">
        <v>873</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909</v>
      </c>
      <c r="AC5" s="1909" t="s">
        <v>910</v>
      </c>
      <c r="AD5" s="1909" t="s">
        <v>911</v>
      </c>
      <c r="AE5" s="1909" t="s">
        <v>912</v>
      </c>
      <c r="AF5" s="1847" t="s">
        <v>913</v>
      </c>
      <c r="AG5" s="1847" t="s">
        <v>914</v>
      </c>
      <c r="AH5" s="1847" t="s">
        <v>915</v>
      </c>
      <c r="AI5" s="1847" t="s">
        <v>916</v>
      </c>
      <c r="AJ5" s="1847" t="s">
        <v>239</v>
      </c>
      <c r="AK5" s="1868" t="s">
        <v>718</v>
      </c>
      <c r="AL5" s="1868" t="s">
        <v>240</v>
      </c>
      <c r="AM5" s="1847" t="s">
        <v>762</v>
      </c>
      <c r="AN5" s="1847" t="s">
        <v>317</v>
      </c>
      <c r="AO5" s="1847" t="s">
        <v>318</v>
      </c>
      <c r="AP5" s="1847" t="s">
        <v>917</v>
      </c>
      <c r="AQ5" s="1847" t="s">
        <v>918</v>
      </c>
      <c r="AR5" s="1847" t="s">
        <v>919</v>
      </c>
      <c r="AS5" s="1847" t="s">
        <v>920</v>
      </c>
      <c r="AT5" s="1847" t="s">
        <v>921</v>
      </c>
      <c r="AU5" s="1847" t="s">
        <v>922</v>
      </c>
      <c r="AV5" s="1847" t="s">
        <v>923</v>
      </c>
      <c r="AW5" s="1847" t="s">
        <v>924</v>
      </c>
      <c r="AX5" s="1847" t="s">
        <v>431</v>
      </c>
      <c r="AY5" s="1847" t="s">
        <v>925</v>
      </c>
      <c r="AZ5" s="1847" t="s">
        <v>926</v>
      </c>
      <c r="BA5" s="1847" t="s">
        <v>717</v>
      </c>
      <c r="BB5" s="1718" t="s">
        <v>933</v>
      </c>
      <c r="BC5" s="1718" t="s">
        <v>934</v>
      </c>
      <c r="BD5" s="1885" t="s">
        <v>935</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316</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316</v>
      </c>
      <c r="C10" s="751" t="str">
        <f>Datos!A10</f>
        <v>Jdos. Violencia contra la mujer</v>
      </c>
      <c r="D10" s="605"/>
      <c r="E10" s="907">
        <f>IF(ISNUMBER(Datos!AQ10),Datos!AQ10," - ")</f>
        <v>0</v>
      </c>
      <c r="F10" s="908">
        <f>IF(ISNUMBER(Datos!L10+Datos!K10-Datos!J10),Datos!L10+Datos!K10-Datos!J10," - ")</f>
        <v>51</v>
      </c>
      <c r="G10" s="909">
        <f>IF(ISNUMBER(Datos!I10),Datos!I10," - ")</f>
        <v>61</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2</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70</v>
      </c>
      <c r="AC10" s="908" t="str">
        <f>IF(ISNUMBER(IF(D_I="SI",DatosP!K18,DatosP!K18+DatosP!AE18)),IF(D_I="SI",DatosP!K18,DatosP!K18+DatosP!AE18)," - ")</f>
        <v xml:space="preserve"> - </v>
      </c>
      <c r="AD10" s="910"/>
      <c r="AE10" s="910"/>
      <c r="AF10" s="913">
        <f>IF(ISNUMBER(Datos!L10),Datos!L10,"-")</f>
        <v>58</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36</v>
      </c>
      <c r="AM10" s="917">
        <f>IF(ISNUMBER(Datos!N10+DatosP!N18),Datos!N10+DatosP!N18," - ")</f>
        <v>26</v>
      </c>
      <c r="AN10" s="917">
        <f>IF(ISNUMBER(Datos!BW10+DatosP!BW18),Datos!BW10+DatosP!BW18," - ")</f>
        <v>0</v>
      </c>
      <c r="AO10" s="918">
        <f>IF(ISNUMBER(Datos!BX10+DatosP!BX18),Datos!BX10+DatosP!BX18," - ")</f>
        <v>0</v>
      </c>
      <c r="AP10" s="920">
        <f>IF(ISNUMBER(((Datos!L10/Datos!K10)*11)/factor_trimestre),((Datos!L10/Datos!K10)*11)/factor_trimestre," - ")</f>
        <v>9.1142857142857157</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316</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7</v>
      </c>
      <c r="B12" s="750" t="s">
        <v>316</v>
      </c>
      <c r="C12" s="751" t="str">
        <f>Datos!A12</f>
        <v xml:space="preserve">Jdos. 1ª Instª. e Instr.                        </v>
      </c>
      <c r="D12" s="605"/>
      <c r="E12" s="907">
        <f>IF(ISNUMBER(Datos!AQ12),Datos!AQ12," - ")</f>
        <v>7</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1163</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1102</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6628</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1406</v>
      </c>
      <c r="AM12" s="917">
        <f>IF(ISNUMBER(Datos!N12+DatosP!N17),Datos!N12+DatosP!N17," - ")</f>
        <v>2549</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9.697885646217987</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9.2888685853509973E-3</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316</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7</v>
      </c>
      <c r="F14" s="1261">
        <f t="shared" si="0"/>
        <v>51</v>
      </c>
      <c r="G14" s="1261">
        <f t="shared" si="0"/>
        <v>61</v>
      </c>
      <c r="H14" s="1261">
        <f t="shared" si="0"/>
        <v>0</v>
      </c>
      <c r="I14" s="1263">
        <f t="shared" si="0"/>
        <v>0</v>
      </c>
      <c r="J14" s="1262">
        <f t="shared" si="0"/>
        <v>0</v>
      </c>
      <c r="K14" s="1262">
        <f t="shared" si="0"/>
        <v>0</v>
      </c>
      <c r="L14" s="1264">
        <f t="shared" si="0"/>
        <v>0</v>
      </c>
      <c r="M14" s="1264">
        <f t="shared" si="0"/>
        <v>0</v>
      </c>
      <c r="N14" s="1262">
        <f t="shared" si="0"/>
        <v>1165</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70</v>
      </c>
      <c r="AC14" s="1262">
        <f t="shared" si="1"/>
        <v>0</v>
      </c>
      <c r="AD14" s="1262">
        <f t="shared" si="1"/>
        <v>1102</v>
      </c>
      <c r="AE14" s="1262">
        <f t="shared" si="1"/>
        <v>0</v>
      </c>
      <c r="AF14" s="1262">
        <f t="shared" si="1"/>
        <v>58</v>
      </c>
      <c r="AG14" s="1262">
        <f t="shared" si="1"/>
        <v>0</v>
      </c>
      <c r="AH14" s="1262">
        <f t="shared" si="1"/>
        <v>6628</v>
      </c>
      <c r="AI14" s="1262">
        <f t="shared" si="1"/>
        <v>0</v>
      </c>
      <c r="AJ14" s="1262">
        <f t="shared" si="1"/>
        <v>0</v>
      </c>
      <c r="AK14" s="1262">
        <f t="shared" si="1"/>
        <v>0</v>
      </c>
      <c r="AL14" s="1262">
        <f t="shared" si="1"/>
        <v>1442</v>
      </c>
      <c r="AM14" s="1262">
        <f t="shared" si="1"/>
        <v>2575</v>
      </c>
      <c r="AN14" s="1262">
        <f t="shared" si="1"/>
        <v>0</v>
      </c>
      <c r="AO14" s="1262">
        <f t="shared" si="1"/>
        <v>0</v>
      </c>
      <c r="AP14" s="1267">
        <f>IF(ISNUMBER(((Datos!L14/Datos!K14)*11)/factor_trimestre),((Datos!L14/Datos!K14)*11)/factor_trimestre," - ")</f>
        <v>10.200283866897966</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-1.3725490196078431</v>
      </c>
      <c r="AU14" s="1262" t="str">
        <f>IF(ISNUMBER((DatosP!#REF!-DatosP!#REF!+DatosP!#REF!)/(DatosP!#REF!+DatosP!#REF!-DatosP!#REF!-DatosP!#REF!)),(DatosP!#REF!-DatosP!#REF!+DatosP!#REF!)/(DatosP!#REF!+DatosP!#REF!-DatosP!#REF!-DatosP!#REF!)," - ")</f>
        <v xml:space="preserve"> - </v>
      </c>
      <c r="AV14" s="1268">
        <f>SUBTOTAL(9,AV9:AV13)</f>
        <v>9.2888685853509973E-3</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506</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7</v>
      </c>
      <c r="B17" s="750" t="s">
        <v>506</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506</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506</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506</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506</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506</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3.2479327060165382</v>
      </c>
      <c r="AQ23" s="1267">
        <f>IF(ISNUMBER(((Datos!M23/Datos!L23)*11)/factor_trimestre),((Datos!M23/Datos!L23)*11)/factor_trimestre," - ")</f>
        <v>5.9381941091260257</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0.26024590163934425</v>
      </c>
      <c r="AW23" s="1270">
        <f>IF(ISNUMBER((Datos!Q23-Datos!R23)/(Datos!S23-Datos!Q23+Datos!R23)),(Datos!Q23-Datos!R23)/(Datos!S23-Datos!Q23+Datos!R23)," - ")</f>
        <v>-0.19455473624503686</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768</v>
      </c>
      <c r="B25" s="604" t="s">
        <v>507</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1</v>
      </c>
      <c r="B28" s="604" t="s">
        <v>508</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508</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f>IF(ISNUMBER(((Datos!L30/Datos!K30)*11)/factor_trimestre),((Datos!L30/Datos!K30)*11)/factor_trimestre," - ")</f>
        <v>2.1174551386623164</v>
      </c>
      <c r="AQ30" s="1267">
        <f>IF(ISNUMBER(((Datos!M30/Datos!L30)*11)/factor_trimestre),((Datos!M30/Datos!L30)*11)/factor_trimestre," - ")</f>
        <v>24.237288135593218</v>
      </c>
      <c r="AR30" s="1268">
        <f>IF(ISNUMBER(AT30/AV30),AT30/AV30," - ")</f>
        <v>0</v>
      </c>
      <c r="AS30" s="1268" t="str">
        <f>IF(ISNUMBER(AV30/#REF!),AV30/#REF!," - ")</f>
        <v xml:space="preserve"> - </v>
      </c>
      <c r="AT30" s="1268"/>
      <c r="AU30" s="1268" t="str">
        <f>IF(ISNUMBER((I30-AC30+L30)/(G30-L30)),(I30-AC30+L30)/(G30-L30)," - ")</f>
        <v xml:space="preserve"> - </v>
      </c>
      <c r="AV30" s="1270">
        <f>IF(ISNUMBER((Datos!P30-Datos!Q30)/(Datos!R30-Datos!P30+Datos!Q30)),(Datos!P30-Datos!Q30)/(Datos!R30-Datos!P30+Datos!Q30)," - ")</f>
        <v>-0.6</v>
      </c>
      <c r="AW30" s="1270">
        <f>IF(ISNUMBER((Datos!Q30-Datos!R30)/(Datos!S30-Datos!Q30+Datos!R30)),(Datos!Q30-Datos!R30)/(Datos!S30-Datos!Q30+Datos!R30)," - ")</f>
        <v>13.5</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7</v>
      </c>
      <c r="F31" s="1283">
        <f t="shared" si="8"/>
        <v>51</v>
      </c>
      <c r="G31" s="1283">
        <f t="shared" si="8"/>
        <v>61</v>
      </c>
      <c r="H31" s="1283">
        <f t="shared" si="8"/>
        <v>0</v>
      </c>
      <c r="I31" s="1284">
        <f t="shared" si="8"/>
        <v>0</v>
      </c>
      <c r="J31" s="1285">
        <f t="shared" si="8"/>
        <v>0</v>
      </c>
      <c r="K31" s="1285">
        <f t="shared" si="8"/>
        <v>0</v>
      </c>
      <c r="L31" s="1285">
        <f t="shared" si="8"/>
        <v>0</v>
      </c>
      <c r="M31" s="1285">
        <f t="shared" si="8"/>
        <v>0</v>
      </c>
      <c r="N31" s="1284">
        <f t="shared" si="8"/>
        <v>1165</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70</v>
      </c>
      <c r="AC31" s="1289">
        <f t="shared" si="9"/>
        <v>0</v>
      </c>
      <c r="AD31" s="1289">
        <f t="shared" si="9"/>
        <v>1102</v>
      </c>
      <c r="AE31" s="1289">
        <f t="shared" si="9"/>
        <v>0</v>
      </c>
      <c r="AF31" s="1290">
        <f t="shared" si="9"/>
        <v>58</v>
      </c>
      <c r="AG31" s="1290">
        <f t="shared" si="9"/>
        <v>0</v>
      </c>
      <c r="AH31" s="1290">
        <f t="shared" si="9"/>
        <v>6628</v>
      </c>
      <c r="AI31" s="1290">
        <f t="shared" si="9"/>
        <v>0</v>
      </c>
      <c r="AJ31" s="1291">
        <f t="shared" si="9"/>
        <v>0</v>
      </c>
      <c r="AK31" s="1291">
        <f t="shared" si="9"/>
        <v>0</v>
      </c>
      <c r="AL31" s="1283">
        <f t="shared" si="9"/>
        <v>1442</v>
      </c>
      <c r="AM31" s="1283">
        <f t="shared" si="9"/>
        <v>2575</v>
      </c>
      <c r="AN31" s="1283">
        <f t="shared" si="9"/>
        <v>0</v>
      </c>
      <c r="AO31" s="1283">
        <f t="shared" si="9"/>
        <v>0</v>
      </c>
      <c r="AP31" s="1283">
        <f>IF(ISNUMBER(((Datos!L31/Datos!K31)*11)/factor_trimestre),((Datos!L31/Datos!K31)*11)/factor_trimestre," - ")</f>
        <v>6.3544530355097359</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-1.3725490196078431</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2.2331460674157304E-2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336</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24.4</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337</v>
      </c>
      <c r="D33" s="1007"/>
      <c r="E33" s="1008">
        <f>IF(ISNUMBER(STDEV(E8:E30)),STDEV(E8:E30),"-")</f>
        <v>3.0867098629086893</v>
      </c>
      <c r="F33" s="1009">
        <f>IF(ISNUMBER(STDEV(F8:F30)),STDEV(F8:F30),"-")</f>
        <v>27.933850432763471</v>
      </c>
      <c r="G33" s="1010">
        <f>IF(ISNUMBER(STDEV(G8:G30)),STDEV(G8:G30),"-")</f>
        <v>33.411076007815133</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38.340579025361627</v>
      </c>
      <c r="AC33" s="1011">
        <f>IF(ISNUMBER(STDEV(AC8:AC30)),STDEV(AC8:AC30),"-")</f>
        <v>0</v>
      </c>
      <c r="AD33" s="1014"/>
      <c r="AE33" s="1014"/>
      <c r="AF33" s="1014"/>
      <c r="AG33" s="1014"/>
      <c r="AH33" s="1014"/>
      <c r="AI33" s="1014"/>
      <c r="AJ33" s="1015">
        <f>IF(ISNUMBER(STDEV(AJ8:AJ30)),STDEV(AJ8:AJ30),"-")</f>
        <v>0</v>
      </c>
      <c r="AK33" s="1017"/>
      <c r="AL33" s="1009">
        <f>IF(ISNUMBER(STDEV(AL8:AL30)),STDEV(AL8:AL30),"-")</f>
        <v>730.92452870776378</v>
      </c>
      <c r="AM33" s="1009"/>
      <c r="AN33" s="1009">
        <f>IF(ISNUMBER(STDEV(AN8:AN30)),STDEV(AN8:AN30),"-")</f>
        <v>0</v>
      </c>
      <c r="AO33" s="1015">
        <f>IF(ISNUMBER(STDEV(AO8:AO30)),STDEV(AO8:AO30),"-")</f>
        <v>0</v>
      </c>
      <c r="AP33" s="1068">
        <f>IF(ISNUMBER(STDEV(AP8:AP30)),STDEV(AP8:AP30),"-")</f>
        <v>3.8675071209822267</v>
      </c>
      <c r="AQ33" s="1068">
        <f>IF(ISNUMBER(STDEV(AQ8:AQ30)),STDEV(AQ8:AQ30),"-")</f>
        <v>12.939413475685194</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540</v>
      </c>
      <c r="AU34" s="1025" t="s">
        <v>540</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334</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335</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C1X3n5W7uUlAWAmYwUR8uh6WLvEPf+76hypuE9e4PkUH8CWQ2TvnrjbDa3slXd7eljDytbkQle8RIMZPJuSLfw==" saltValue="/fqQXU4/tYHl7ZcFllo46w=="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CANARIAS</v>
      </c>
      <c r="C2" s="437"/>
      <c r="E2" s="437"/>
      <c r="F2" s="437"/>
      <c r="G2" s="437"/>
      <c r="H2" s="437"/>
    </row>
    <row r="3" spans="1:15" ht="39">
      <c r="A3" s="464" t="s">
        <v>276</v>
      </c>
      <c r="B3" s="440" t="str">
        <f>Criterios!A10 &amp;"  "&amp;Criterios!B10</f>
        <v>Provincias  LAS PALMAS</v>
      </c>
      <c r="C3" s="464"/>
      <c r="F3" s="437"/>
      <c r="G3" s="437"/>
      <c r="H3" s="437"/>
    </row>
    <row r="4" spans="1:15" ht="13.5" thickBot="1">
      <c r="A4" s="437"/>
      <c r="B4" s="440" t="str">
        <f>Criterios!A11 &amp;"  "&amp;Criterios!B11</f>
        <v>Resumenes por Partidos Judiciales  PUERTO DEL ROSARIO</v>
      </c>
      <c r="C4" s="437"/>
      <c r="E4" s="437"/>
      <c r="F4" s="437"/>
      <c r="G4" s="437"/>
      <c r="H4" s="437"/>
    </row>
    <row r="5" spans="1:15" ht="15.75" customHeight="1">
      <c r="A5" s="1565" t="str">
        <f>"Año:  " &amp;Criterios!B5</f>
        <v>Año:  2021</v>
      </c>
      <c r="B5" s="1555" t="s">
        <v>263</v>
      </c>
      <c r="C5" s="1568"/>
      <c r="D5" s="1555" t="s">
        <v>280</v>
      </c>
      <c r="E5" s="1573"/>
      <c r="F5" s="1568"/>
      <c r="G5" s="1555" t="s">
        <v>265</v>
      </c>
      <c r="H5" s="1556"/>
      <c r="I5" s="1555" t="s">
        <v>266</v>
      </c>
      <c r="J5" s="1556"/>
      <c r="K5" s="1555" t="s">
        <v>267</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148</v>
      </c>
      <c r="C7" s="465" t="s">
        <v>264</v>
      </c>
      <c r="D7" s="465" t="s">
        <v>148</v>
      </c>
      <c r="E7" s="465" t="s">
        <v>264</v>
      </c>
      <c r="F7" s="444" t="s">
        <v>11</v>
      </c>
      <c r="G7" s="465" t="s">
        <v>148</v>
      </c>
      <c r="H7" s="465" t="s">
        <v>268</v>
      </c>
      <c r="I7" s="465" t="s">
        <v>148</v>
      </c>
      <c r="J7" s="465" t="s">
        <v>268</v>
      </c>
      <c r="K7" s="465" t="s">
        <v>148</v>
      </c>
      <c r="L7" s="466" t="s">
        <v>268</v>
      </c>
      <c r="M7" s="466" t="s">
        <v>277</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7</v>
      </c>
      <c r="D12" s="452">
        <f>Datos!BK12</f>
        <v>0</v>
      </c>
      <c r="E12" s="452">
        <f>Datos!AQ12</f>
        <v>7</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7</v>
      </c>
      <c r="D17" s="452">
        <f>Datos!BK17</f>
        <v>0</v>
      </c>
      <c r="E17" s="452">
        <f>Datos!AQ17</f>
        <v>7</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1</v>
      </c>
      <c r="D28" s="452">
        <f>Datos!BK28</f>
        <v>0</v>
      </c>
      <c r="E28" s="452">
        <f>Datos!AQ28</f>
        <v>1</v>
      </c>
      <c r="F28" s="453">
        <f>IF(ISNUMBER(E28/Datos!BH28),E28/Datos!BH28," - ")</f>
        <v>1</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srqYBdcVqnWSXQGxkjzBjQzDrVpbPL/BLOzkLtqEzVcaB6slCCllRpK6rRi5BKHad03+DI/wZpEhDrbywK+ffA==" saltValue="5UiAqATEkFTaH2kM6w7y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CANARIAS</v>
      </c>
      <c r="C2" s="476"/>
      <c r="D2" s="419"/>
    </row>
    <row r="3" spans="1:9" ht="19.5">
      <c r="A3" s="477" t="s">
        <v>16</v>
      </c>
      <c r="B3" s="478" t="str">
        <f>Criterios!A10 &amp;"  "&amp;Criterios!B10</f>
        <v>Provincias  LAS PALMAS</v>
      </c>
      <c r="C3" s="476"/>
      <c r="D3" s="477"/>
    </row>
    <row r="4" spans="1:9" ht="13.5" thickBot="1">
      <c r="B4" s="478" t="str">
        <f>Criterios!A11 &amp;"  "&amp;Criterios!B11</f>
        <v>Resumenes por Partidos Judiciales  PUERTO DEL ROSARIO</v>
      </c>
    </row>
    <row r="5" spans="1:9" ht="15.75" customHeight="1">
      <c r="A5" s="1565" t="str">
        <f>"Año:  " &amp;Criterios!B5 &amp; "                  Trimestre   " &amp;Criterios!D5 &amp; " al " &amp;Criterios!D6</f>
        <v>Año:  2021                  Trimestre   1 al 4</v>
      </c>
      <c r="B5" s="1577" t="s">
        <v>157</v>
      </c>
      <c r="C5" s="1579" t="s">
        <v>164</v>
      </c>
      <c r="D5" s="1555" t="s">
        <v>116</v>
      </c>
      <c r="E5" s="1556"/>
      <c r="F5" s="1555" t="s">
        <v>117</v>
      </c>
      <c r="G5" s="1560"/>
      <c r="H5" s="1555" t="s">
        <v>294</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158</v>
      </c>
      <c r="C7" s="465" t="s">
        <v>158</v>
      </c>
      <c r="D7" s="443" t="s">
        <v>124</v>
      </c>
      <c r="E7" s="444" t="s">
        <v>11</v>
      </c>
      <c r="F7" s="443" t="s">
        <v>125</v>
      </c>
      <c r="G7" s="444" t="s">
        <v>11</v>
      </c>
      <c r="H7" s="443" t="s">
        <v>295</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0</v>
      </c>
      <c r="D10" s="452">
        <f>IF(ISNUMBER(Datos!M10),Datos!M10," - ")</f>
        <v>36</v>
      </c>
      <c r="E10" s="453">
        <f>IF(ISNUMBER(D10/B10),D10/B10," - ")</f>
        <v>36</v>
      </c>
      <c r="F10" s="452">
        <f>IF(ISNUMBER(Datos!N10),Datos!N10," - ")</f>
        <v>26</v>
      </c>
      <c r="G10" s="453">
        <f>IF(ISNUMBER(F10/B10),F10/B10," - ")</f>
        <v>26</v>
      </c>
      <c r="H10" s="452">
        <f>IF(ISNUMBER(Datos!O10),Datos!O10," - ")</f>
        <v>6</v>
      </c>
      <c r="I10" s="453">
        <f t="shared" ref="I10:I13" si="2">IF(ISNUMBER(H10/B10),H10/B10," - ")</f>
        <v>6</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7</v>
      </c>
      <c r="C12" s="459">
        <f>Datos!AQ12</f>
        <v>7</v>
      </c>
      <c r="D12" s="452">
        <f>IF(ISNUMBER(Datos!M12),Datos!M12," - ")</f>
        <v>1406</v>
      </c>
      <c r="E12" s="453">
        <f t="shared" si="0"/>
        <v>200.85714285714286</v>
      </c>
      <c r="F12" s="452">
        <f>IF(ISNUMBER(Datos!N12),Datos!N12," - ")</f>
        <v>2549</v>
      </c>
      <c r="G12" s="453">
        <f t="shared" si="1"/>
        <v>364.14285714285717</v>
      </c>
      <c r="H12" s="452">
        <f>IF(ISNUMBER(Datos!O12),Datos!O12," - ")</f>
        <v>2264</v>
      </c>
      <c r="I12" s="453">
        <f t="shared" si="2"/>
        <v>323.42857142857144</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8</v>
      </c>
      <c r="C14" s="1151">
        <f>Datos!AR14</f>
        <v>7</v>
      </c>
      <c r="D14" s="1149">
        <f>SUBTOTAL(9,D9:D13)</f>
        <v>1442</v>
      </c>
      <c r="E14" s="1150">
        <f t="shared" si="0"/>
        <v>180.25</v>
      </c>
      <c r="F14" s="1149">
        <f>SUBTOTAL(9,F9:F13)</f>
        <v>2575</v>
      </c>
      <c r="G14" s="1150">
        <f t="shared" si="1"/>
        <v>321.875</v>
      </c>
      <c r="H14" s="1149">
        <f>SUBTOTAL(9,H9:H13)</f>
        <v>2270</v>
      </c>
      <c r="I14" s="1150">
        <f>IF(ISNUMBER(H14/B14),H14/B14," - ")</f>
        <v>283.75</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7</v>
      </c>
      <c r="C17" s="482">
        <f>Datos!AQ17</f>
        <v>7</v>
      </c>
      <c r="D17" s="452">
        <f>IF(ISNUMBER(Datos!M17),Datos!M17," - ")</f>
        <v>912</v>
      </c>
      <c r="E17" s="453">
        <f t="shared" si="3"/>
        <v>130.28571428571428</v>
      </c>
      <c r="F17" s="452">
        <f>IF(ISNUMBER(Datos!N17),Datos!N17," - ")</f>
        <v>4349</v>
      </c>
      <c r="G17" s="453">
        <f t="shared" si="4"/>
        <v>621.28571428571433</v>
      </c>
      <c r="H17" s="452">
        <f>IF(ISNUMBER(Datos!O17),Datos!O17," - ")</f>
        <v>76</v>
      </c>
      <c r="I17" s="453">
        <f t="shared" si="5"/>
        <v>10.857142857142858</v>
      </c>
    </row>
    <row r="18" spans="1:9">
      <c r="A18" s="451" t="str">
        <f>Datos!A18</f>
        <v>Jdos. Violencia contra la mujer</v>
      </c>
      <c r="B18" s="481">
        <f>Datos!AO18</f>
        <v>1</v>
      </c>
      <c r="C18" s="482">
        <f>Datos!AQ18</f>
        <v>0</v>
      </c>
      <c r="D18" s="452">
        <f>IF(ISNUMBER(Datos!M18),Datos!M18," - ")</f>
        <v>206</v>
      </c>
      <c r="E18" s="453">
        <f>IF(ISNUMBER(D18/B18),D18/B18," - ")</f>
        <v>206</v>
      </c>
      <c r="F18" s="452">
        <f>IF(ISNUMBER(Datos!N18),Datos!N18," - ")</f>
        <v>396</v>
      </c>
      <c r="G18" s="453">
        <f>IF(ISNUMBER(F18/B18),F18/B18," - ")</f>
        <v>396</v>
      </c>
      <c r="H18" s="452">
        <f>IF(ISNUMBER(Datos!O18),Datos!O18," - ")</f>
        <v>38</v>
      </c>
      <c r="I18" s="453">
        <f t="shared" si="5"/>
        <v>38</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8</v>
      </c>
      <c r="C23" s="1151">
        <f>Datos!AR23</f>
        <v>7</v>
      </c>
      <c r="D23" s="1149">
        <f>SUBTOTAL(9,D16:D22)</f>
        <v>1118</v>
      </c>
      <c r="E23" s="1150">
        <f t="shared" si="3"/>
        <v>139.75</v>
      </c>
      <c r="F23" s="1149">
        <f>SUBTOTAL(9,F16:F22)</f>
        <v>4745</v>
      </c>
      <c r="G23" s="1150">
        <f t="shared" si="4"/>
        <v>593.125</v>
      </c>
      <c r="H23" s="1149">
        <f>SUBTOTAL(9,H16:H22)</f>
        <v>114</v>
      </c>
      <c r="I23" s="1150">
        <f>IF(ISNUMBER(H23/B23),H23/B23," - ")</f>
        <v>14.25</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1</v>
      </c>
      <c r="C28" s="483">
        <f>Datos!AQ28-IF(ISNUMBER(Datos!AQ29),Datos!AQ29,0)</f>
        <v>1</v>
      </c>
      <c r="D28" s="484">
        <f>IF(ISNUMBER(Datos!M28),Datos!M28," - ")</f>
        <v>260</v>
      </c>
      <c r="E28" s="453">
        <f t="shared" ref="E28:E30" si="9">IF(ISNUMBER(D28/B28),D28/B28," - ")</f>
        <v>260</v>
      </c>
      <c r="F28" s="452">
        <f>IF(ISNUMBER(Datos!N28),Datos!N28," - ")</f>
        <v>101</v>
      </c>
      <c r="G28" s="453">
        <f t="shared" ref="G28:G30" si="10">IF(ISNUMBER(F28/B28),F28/B28," - ")</f>
        <v>101</v>
      </c>
      <c r="H28" s="452">
        <f>IF(ISNUMBER(Datos!O28),Datos!O28," - ")</f>
        <v>424</v>
      </c>
      <c r="I28" s="453">
        <f t="shared" ref="I28:I30" si="11">IF(ISNUMBER(H28/B28),H28/B28," - ")</f>
        <v>424</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1</v>
      </c>
      <c r="C30" s="1151">
        <f>Datos!AR30</f>
        <v>1</v>
      </c>
      <c r="D30" s="1149">
        <f>SUBTOTAL(9,D28:D29)</f>
        <v>260</v>
      </c>
      <c r="E30" s="1150">
        <f t="shared" si="9"/>
        <v>260</v>
      </c>
      <c r="F30" s="1149">
        <f>SUBTOTAL(9,F28:F29)</f>
        <v>101</v>
      </c>
      <c r="G30" s="1150">
        <f t="shared" si="10"/>
        <v>101</v>
      </c>
      <c r="H30" s="1149">
        <f>SUBTOTAL(9,H28:H29)</f>
        <v>424</v>
      </c>
      <c r="I30" s="1150">
        <f t="shared" si="11"/>
        <v>424</v>
      </c>
    </row>
    <row r="31" spans="1:9" ht="14.25" thickTop="1" thickBot="1">
      <c r="A31" s="1086" t="str">
        <f>Datos!A31</f>
        <v>TOTAL JURISDICCIONES</v>
      </c>
      <c r="B31" s="1087">
        <f>Datos!AP31</f>
        <v>8</v>
      </c>
      <c r="C31" s="1087">
        <f>Datos!AR31</f>
        <v>8</v>
      </c>
      <c r="D31" s="1087">
        <f>SUBTOTAL(9,D8:D30)</f>
        <v>2820</v>
      </c>
      <c r="E31" s="1088">
        <f>IF(ISNUMBER(D31/B31),D31/B31," - ")</f>
        <v>352.5</v>
      </c>
      <c r="F31" s="1087">
        <f>SUBTOTAL(9,F8:F30)</f>
        <v>7421</v>
      </c>
      <c r="G31" s="1088">
        <f>IF(ISNUMBER(F31/B31),F31/B31," - ")</f>
        <v>927.625</v>
      </c>
      <c r="H31" s="1087">
        <f>SUBTOTAL(9,H8:H30)</f>
        <v>2808</v>
      </c>
      <c r="I31" s="1088">
        <f>IF(ISNUMBER(H31/B31),H31/B31," - ")</f>
        <v>351</v>
      </c>
    </row>
    <row r="34" spans="1:1">
      <c r="A34" s="440" t="str">
        <f>Criterios!A4</f>
        <v>Fecha Informe: 05 abr. 2022</v>
      </c>
    </row>
    <row r="39" spans="1:1">
      <c r="A39" s="463"/>
    </row>
  </sheetData>
  <sheetProtection algorithmName="SHA-512" hashValue="0THjjrShgmBMf4GiQAXBAnkJeCOgjPqRwS8KlbdpOy5oK+xBpYsG76Qvrj5Shkb2HA7VWhZoJtoARZGe1sMpgw==" saltValue="2nN+RbF4qeYt6FS1UGRJ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CANARIAS</v>
      </c>
    </row>
    <row r="3" spans="1:4" ht="19.5">
      <c r="A3" s="485" t="s">
        <v>45</v>
      </c>
      <c r="B3" s="440" t="str">
        <f>Criterios!A10 &amp;"  "&amp;Criterios!B10</f>
        <v>Provincias  LAS PALMAS</v>
      </c>
    </row>
    <row r="4" spans="1:4" ht="13.5" thickBot="1">
      <c r="B4" s="440" t="str">
        <f>Criterios!A11 &amp;"  "&amp;Criterios!B11</f>
        <v>Resumenes por Partidos Judiciales  PUERTO DEL ROSARIO</v>
      </c>
    </row>
    <row r="5" spans="1:4" ht="12.75" customHeight="1">
      <c r="A5" s="1565" t="str">
        <f>"Año:  " &amp;Criterios!B5 &amp; "                  Trimestre   " &amp;Criterios!D5 &amp; " al " &amp;Criterios!D6</f>
        <v>Año:  2021                  Trimestre   1 al 4</v>
      </c>
      <c r="B5" s="1581" t="s">
        <v>15</v>
      </c>
      <c r="C5" s="1581" t="s">
        <v>19</v>
      </c>
      <c r="D5" s="1581" t="s">
        <v>170</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2</v>
      </c>
      <c r="C10" s="490">
        <f>IF(ISNUMBER(Datos!Q10),Datos!Q10," - ")</f>
        <v>1</v>
      </c>
      <c r="D10" s="457">
        <f>IF(ISNUMBER(Datos!R10),Datos!R10," - ")</f>
        <v>16</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1163</v>
      </c>
      <c r="C12" s="490">
        <f>IF(ISNUMBER(Datos!Q12),Datos!Q12," - ")</f>
        <v>1102</v>
      </c>
      <c r="D12" s="457">
        <f>IF(ISNUMBER(Datos!R12),Datos!R12," - ")</f>
        <v>6628</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1165</v>
      </c>
      <c r="C14" s="1153">
        <f>SUBTOTAL(9,C9:C13)</f>
        <v>1103</v>
      </c>
      <c r="D14" s="1151">
        <f>SUBTOTAL(9,D9:D13)</f>
        <v>6644</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338</v>
      </c>
      <c r="C17" s="490">
        <f>IF(ISNUMBER(Datos!Q17),Datos!Q17," - ")</f>
        <v>213</v>
      </c>
      <c r="D17" s="457">
        <f>IF(ISNUMBER(Datos!R17),Datos!R17," - ")</f>
        <v>588</v>
      </c>
    </row>
    <row r="18" spans="1:4">
      <c r="A18" s="451" t="str">
        <f>Datos!A18</f>
        <v>Jdos. Violencia contra la mujer</v>
      </c>
      <c r="B18" s="489">
        <f>IF(ISNUMBER(Datos!P18),Datos!P18," - ")</f>
        <v>61</v>
      </c>
      <c r="C18" s="490">
        <f>IF(ISNUMBER(Datos!Q18),Datos!Q18," - ")</f>
        <v>59</v>
      </c>
      <c r="D18" s="457">
        <f>IF(ISNUMBER(Datos!R18),Datos!R18," - ")</f>
        <v>27</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399</v>
      </c>
      <c r="C23" s="1153">
        <f>SUBTOTAL(9,C16:C22)</f>
        <v>272</v>
      </c>
      <c r="D23" s="1151">
        <f>SUBTOTAL(9,D16:D22)</f>
        <v>615</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f>IF(ISNUMBER(Datos!P28),Datos!P28," - ")</f>
        <v>125</v>
      </c>
      <c r="C28" s="490">
        <f>IF(ISNUMBER(Datos!Q28),Datos!Q28," - ")</f>
        <v>155</v>
      </c>
      <c r="D28" s="457">
        <f>IF(ISNUMBER(Datos!R28),Datos!R28," - ")</f>
        <v>20</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125</v>
      </c>
      <c r="C30" s="1153">
        <f>SUBTOTAL(9,C28:C29)</f>
        <v>155</v>
      </c>
      <c r="D30" s="1151">
        <f>SUBTOTAL(9,D28:D29)</f>
        <v>20</v>
      </c>
    </row>
    <row r="31" spans="1:4" ht="16.5" customHeight="1" thickTop="1" thickBot="1">
      <c r="A31" s="1086" t="str">
        <f>Datos!A31</f>
        <v>TOTAL JURISDICCIONES</v>
      </c>
      <c r="B31" s="1091">
        <f>SUBTOTAL(9,B8:B30)</f>
        <v>1689</v>
      </c>
      <c r="C31" s="1092">
        <f>SUBTOTAL(9,C8:C30)</f>
        <v>1530</v>
      </c>
      <c r="D31" s="1093">
        <f>SUBTOTAL(9,D8:D30)</f>
        <v>7279</v>
      </c>
    </row>
    <row r="32" spans="1:4" ht="7.5" customHeight="1"/>
    <row r="33" spans="1:1" ht="6" customHeight="1"/>
    <row r="34" spans="1:1">
      <c r="A34" s="440" t="str">
        <f>Criterios!A4</f>
        <v>Fecha Informe: 05 abr. 2022</v>
      </c>
    </row>
    <row r="39" spans="1:1">
      <c r="A39" s="463"/>
    </row>
  </sheetData>
  <sheetProtection algorithmName="SHA-512" hashValue="nbr9QLTHH2LLNV/zSneCa51O8R3NcMgBOEe3nGvOAAL1ffIaUZLaiKsh3H/3qq5RSyjByyae8T8vRJr+XTnASw==" saltValue="agBprx4tp2Zls4G1E/8m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CANARIAS</v>
      </c>
    </row>
    <row r="3" spans="1:11" ht="18.75" customHeight="1">
      <c r="A3" s="485" t="s">
        <v>159</v>
      </c>
      <c r="B3" s="440" t="str">
        <f>Criterios!A10 &amp;"  "&amp;Criterios!B10</f>
        <v>Provincias  LAS PALMAS</v>
      </c>
    </row>
    <row r="4" spans="1:11" ht="10.5" customHeight="1" thickBot="1">
      <c r="B4" s="440" t="str">
        <f>Criterios!A11 &amp;"  "&amp;Criterios!B11</f>
        <v>Resumenes por Partidos Judiciales  PUERTO DEL ROSARIO</v>
      </c>
    </row>
    <row r="5" spans="1:11" ht="12.75" customHeight="1">
      <c r="A5" s="1565" t="str">
        <f>"Año:  " &amp;Criterios!B5 &amp; "    Trimestre   " &amp;Criterios!D5 &amp; " al " &amp;Criterios!D6</f>
        <v>Año:  2021    Trimestre   1 al 4</v>
      </c>
      <c r="B5" s="1599" t="s">
        <v>169</v>
      </c>
      <c r="C5" s="1562" t="s">
        <v>18</v>
      </c>
      <c r="D5" s="1546" t="s">
        <v>14</v>
      </c>
      <c r="E5" s="1546" t="s">
        <v>170</v>
      </c>
      <c r="F5" s="1562" t="s">
        <v>12</v>
      </c>
      <c r="G5" s="1586" t="s">
        <v>13</v>
      </c>
      <c r="H5" s="1579" t="s">
        <v>160</v>
      </c>
      <c r="I5" s="1591" t="s">
        <v>161</v>
      </c>
      <c r="J5" s="1594" t="s">
        <v>162</v>
      </c>
      <c r="K5" s="1559" t="s">
        <v>163</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0.60526315789473684</v>
      </c>
      <c r="C10" s="516">
        <f>IF(ISNUMBER((Datos!J10-Datos!T10)/Datos!T10),(Datos!J10-Datos!T10)/Datos!T10," - ")</f>
        <v>-4.9382716049382713E-2</v>
      </c>
      <c r="D10" s="516">
        <f>IF(ISNUMBER((Datos!K10-Datos!U10)/Datos!U10),(Datos!K10-Datos!U10)/Datos!U10," - ")</f>
        <v>0.20689655172413793</v>
      </c>
      <c r="E10" s="516">
        <f>IF(ISNUMBER((Datos!L10-Datos!V10)/Datos!V10),(Datos!L10-Datos!V10)/Datos!V10," - ")</f>
        <v>-4.9180327868852458E-2</v>
      </c>
      <c r="F10" s="516">
        <f>IF(ISNUMBER((Datos!M10-Datos!W10)/Datos!W10),(Datos!M10-Datos!W10)/Datos!W10," - ")</f>
        <v>1.4</v>
      </c>
      <c r="G10" s="517">
        <f>IF(ISNUMBER((Datos!N10-Datos!X10)/Datos!X10),(Datos!N10-Datos!X10)/Datos!X10," - ")</f>
        <v>-0.16129032258064516</v>
      </c>
      <c r="H10" s="515">
        <f>IF(ISNUMBER(((NºAsuntos!G10/NºAsuntos!E10)-Datos!BD10)/Datos!BD10),((NºAsuntos!G10/NºAsuntos!E10)-Datos!BD10)/Datos!BD10," - ")</f>
        <v>0.26959247648902823</v>
      </c>
      <c r="I10" s="516">
        <f>IF(ISNUMBER(((NºAsuntos!I10/NºAsuntos!G10)-Datos!BE10)/Datos!BE10),((NºAsuntos!I10/NºAsuntos!G10)-Datos!BE10)/Datos!BE10," - ")</f>
        <v>-0.2121779859484777</v>
      </c>
      <c r="J10" s="522">
        <f>IF(ISNUMBER((('Resol  Asuntos'!D10/NºAsuntos!G10)-Datos!BF10)/Datos!BF10),(('Resol  Asuntos'!D10/NºAsuntos!G10)-Datos!BF10)/Datos!BF10," - ")</f>
        <v>0.98857142857142821</v>
      </c>
      <c r="K10" s="523">
        <f>IF(ISNUMBER((((NºAsuntos!C10+NºAsuntos!E10)/NºAsuntos!G10)-Datos!BG10)/Datos!BG10),(((NºAsuntos!C10+NºAsuntos!E10)/NºAsuntos!G10)-Datos!BG10)/Datos!BG10," - ")</f>
        <v>-3.9135654261704733E-2</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0.3014465702286514</v>
      </c>
      <c r="C12" s="516">
        <f>IF(ISNUMBER(
   IF(J_V="SI",(Datos!J12-Datos!T12)/Datos!T12,(Datos!J12+Datos!Z12-(Datos!T12+Datos!AH12))/(Datos!T12+Datos!AH12))
     ),IF(J_V="SI",(Datos!J12-Datos!T12)/Datos!T12,(Datos!J12+Datos!Z12-(Datos!T12+Datos!AH12))/(Datos!T12+Datos!AH12))," - ")</f>
        <v>0.20306448897120727</v>
      </c>
      <c r="D12" s="516">
        <f>IF(ISNUMBER(
   IF(J_V="SI",(Datos!K12-Datos!U12)/Datos!U12,(Datos!K12+Datos!AA12-(Datos!U12+Datos!AI12))/(Datos!U12+Datos!AI12))
     ),IF(J_V="SI",(Datos!K12-Datos!U12)/Datos!U12,(Datos!K12+Datos!AA12-(Datos!U12+Datos!AI12))/(Datos!U12+Datos!AI12))," - ")</f>
        <v>0.45841476655808905</v>
      </c>
      <c r="E12" s="516">
        <f>IF(ISNUMBER(
   IF(J_V="SI",(Datos!L12-Datos!V12)/Datos!V12,(Datos!L12+Datos!AB12-(Datos!V12+Datos!AJ12))/(Datos!V12+Datos!AJ12))
     ),IF(J_V="SI",(Datos!L12-Datos!V12)/Datos!V12,(Datos!L12+Datos!AB12-(Datos!V12+Datos!AJ12))/(Datos!V12+Datos!AJ12))," - ")</f>
        <v>6.1491574040874866E-2</v>
      </c>
      <c r="F12" s="516">
        <f>IF(ISNUMBER((Datos!M12-Datos!W12)/Datos!W12),(Datos!M12-Datos!W12)/Datos!W12," - ")</f>
        <v>0.35845410628019325</v>
      </c>
      <c r="G12" s="517">
        <f>IF(ISNUMBER((Datos!N12-Datos!X12)/Datos!X12),(Datos!N12-Datos!X12)/Datos!X12," - ")</f>
        <v>0.82855093256814916</v>
      </c>
      <c r="H12" s="515">
        <f>IF(ISNUMBER(((NºAsuntos!G12/NºAsuntos!E12)-Datos!BD12)/Datos!BD12),((NºAsuntos!G12/NºAsuntos!E12)-Datos!BD12)/Datos!BD12," - ")</f>
        <v>0.21224986684233607</v>
      </c>
      <c r="I12" s="516">
        <f>IF(ISNUMBER(((NºAsuntos!I12/NºAsuntos!G12)-Datos!BE12)/Datos!BE12),((NºAsuntos!I12/NºAsuntos!G12)-Datos!BE12)/Datos!BE12," - ")</f>
        <v>-0.27216070600681519</v>
      </c>
      <c r="J12" s="522">
        <f>IF(ISNUMBER((('Resol  Asuntos'!D12/NºAsuntos!G12)-Datos!BF12)/Datos!BF12),(('Resol  Asuntos'!D12/NºAsuntos!G12)-Datos!BF12)/Datos!BF12," - ")</f>
        <v>-0.30842148303415551</v>
      </c>
      <c r="K12" s="523">
        <f>IF(ISNUMBER((((NºAsuntos!C12+NºAsuntos!E12)/NºAsuntos!G12)-Datos!BG12)/Datos!BG12),(((NºAsuntos!C12+NºAsuntos!E12)/NºAsuntos!G12)-Datos!BG12)/Datos!BG12," - ")</f>
        <v>-0.14681117675412222</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0.30411655874190563</v>
      </c>
      <c r="C14" s="1155">
        <f>IF(ISNUMBER(
   IF(J_V="SI",(Datos!J14-Datos!T14)/Datos!T14,(Datos!J14+Datos!Z14-(Datos!T14+Datos!AH14))/(Datos!T14+Datos!AH14))
     ),IF(J_V="SI",(Datos!J14-Datos!T14)/Datos!T14,(Datos!J14+Datos!Z14-(Datos!T14+Datos!AH14))/(Datos!T14+Datos!AH14))," - ")</f>
        <v>0.19966777408637873</v>
      </c>
      <c r="D14" s="1155">
        <f>IF(ISNUMBER(
   IF(J_V="SI",(Datos!K14-Datos!U14)/Datos!U14,(Datos!K14+Datos!AA14-(Datos!U14+Datos!AI14))/(Datos!U14+Datos!AI14))
     ),IF(J_V="SI",(Datos!K14-Datos!U14)/Datos!U14,(Datos!K14+Datos!AA14-(Datos!U14+Datos!AI14))/(Datos!U14+Datos!AI14))," - ")</f>
        <v>0.45528629637572376</v>
      </c>
      <c r="E14" s="1155">
        <f>IF(ISNUMBER(
   IF(J_V="SI",(Datos!L14-Datos!V14)/Datos!V14,(Datos!L14+Datos!AB14-(Datos!V14+Datos!AJ14))/(Datos!V14+Datos!AJ14))
     ),IF(J_V="SI",(Datos!L14-Datos!V14)/Datos!V14,(Datos!L14+Datos!AB14-(Datos!V14+Datos!AJ14))/(Datos!V14+Datos!AJ14))," - ")</f>
        <v>6.0294378435892887E-2</v>
      </c>
      <c r="F14" s="1156">
        <f>IF(ISNUMBER((Datos!M14-Datos!W14)/Datos!W14),(Datos!M14-Datos!W14)/Datos!W14," - ")</f>
        <v>0.37333333333333335</v>
      </c>
      <c r="G14" s="1157">
        <f>IF(ISNUMBER((Datos!N14-Datos!X14)/Datos!X14),(Datos!N14-Datos!X14)/Datos!X14," - ")</f>
        <v>0.80701754385964908</v>
      </c>
      <c r="H14" s="1157">
        <f>IF(ISNUMBER(((NºAsuntos!G14/NºAsuntos!E14)-Datos!BD14)/Datos!BD14),((NºAsuntos!G14/NºAsuntos!E14)-Datos!BD14)/Datos!BD14," - ")</f>
        <v>0.2130744259459785</v>
      </c>
      <c r="I14" s="1157">
        <f>IF(ISNUMBER(((NºAsuntos!I14/NºAsuntos!G14)-Datos!BE14)/Datos!BE14),((NºAsuntos!I14/NºAsuntos!G14)-Datos!BE14)/Datos!BE14," - ")</f>
        <v>-0.27141870223304321</v>
      </c>
      <c r="J14" s="1157">
        <f>IF(ISNUMBER((('Resol  Asuntos'!D14/NºAsuntos!G14)-Datos!BF14)/Datos!BF14),(('Resol  Asuntos'!D14/NºAsuntos!G14)-Datos!BF14)/Datos!BF14," - ")</f>
        <v>-0.29675633694135439</v>
      </c>
      <c r="K14" s="1157">
        <f>IF(ISNUMBER((((NºAsuntos!C14+NºAsuntos!E14)/NºAsuntos!G14)-Datos!BG14)/Datos!BG14),(((NºAsuntos!C14+NºAsuntos!E14)/NºAsuntos!G14)-Datos!BG14)/Datos!BG14," - ")</f>
        <v>-0.14564613887059685</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0.35635562086700956</v>
      </c>
      <c r="C17" s="516">
        <f>IF(ISNUMBER(
   IF(D_I="SI",(Datos!J17-Datos!T17)/Datos!T17,(Datos!J17+Datos!AD17-(Datos!T17+Datos!AL17))/(Datos!T17+Datos!AL17))
     ),IF(D_I="SI",(Datos!J17-Datos!T17)/Datos!T17,(Datos!J17+Datos!AD17-(Datos!T17+Datos!AL17))/(Datos!T17+Datos!AL17))," - ")</f>
        <v>-0.10315226569096538</v>
      </c>
      <c r="D17" s="516">
        <f>IF(ISNUMBER(
   IF(D_I="SI",(Datos!K17-Datos!U17)/Datos!U17,(Datos!K17+Datos!AE17-(Datos!U17+Datos!AM17))/(Datos!U17+Datos!AM17))
     ),IF(D_I="SI",(Datos!K17-Datos!U17)/Datos!U17,(Datos!K17+Datos!AE17-(Datos!U17+Datos!AM17))/(Datos!U17+Datos!AM17))," - ")</f>
        <v>-6.0528301886792452E-2</v>
      </c>
      <c r="E17" s="516">
        <f>IF(ISNUMBER(
   IF(D_I="SI",(Datos!L17-Datos!V17)/Datos!V17,(Datos!L17+Datos!AF17-(Datos!V17+Datos!AN17))/(Datos!V17+Datos!AN17))
     ),IF(D_I="SI",(Datos!L17-Datos!V17)/Datos!V17,(Datos!L17+Datos!AF17-(Datos!V17+Datos!AN17))/(Datos!V17+Datos!AN17))," - ")</f>
        <v>9.0465872156012997E-2</v>
      </c>
      <c r="F17" s="516">
        <f>IF(ISNUMBER((Datos!M17-Datos!W17)/Datos!W17),(Datos!M17-Datos!W17)/Datos!W17," - ")</f>
        <v>0.12315270935960591</v>
      </c>
      <c r="G17" s="517">
        <f>IF(ISNUMBER((Datos!N17-Datos!X17)/Datos!X17),(Datos!N17-Datos!X17)/Datos!X17," - ")</f>
        <v>8.2379293180686902E-2</v>
      </c>
      <c r="H17" s="515">
        <f>IF(ISNUMBER(((NºAsuntos!G17/NºAsuntos!E17)-Datos!BD17)/Datos!BD17),((NºAsuntos!G17/NºAsuntos!E17)-Datos!BD17)/Datos!BD17," - ")</f>
        <v>4.7526421903727072E-2</v>
      </c>
      <c r="I17" s="516">
        <f>IF(ISNUMBER(((NºAsuntos!I17/NºAsuntos!G17)-Datos!BE17)/Datos!BE17),((NºAsuntos!I17/NºAsuntos!G17)-Datos!BE17)/Datos!BE17," - ")</f>
        <v>0.16072242979331405</v>
      </c>
      <c r="J17" s="522">
        <f>IF(ISNUMBER((('Resol  Asuntos'!D17/NºAsuntos!G17)-Datos!BF17)/Datos!BF17),(('Resol  Asuntos'!D17/NºAsuntos!G17)-Datos!BF17)/Datos!BF17," - ")</f>
        <v>0.19551521521648293</v>
      </c>
      <c r="K17" s="523">
        <f>IF(ISNUMBER((((NºAsuntos!C17+NºAsuntos!E17)/NºAsuntos!G17)-Datos!BG17)/Datos!BG17),(((NºAsuntos!C17+NºAsuntos!E17)/NºAsuntos!G17)-Datos!BG17)/Datos!BG17," - ")</f>
        <v>3.3250726470801531E-2</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0.47457627118644069</v>
      </c>
      <c r="C18" s="516">
        <f>IF(ISNUMBER(
   IF(D_I="SI",(Datos!J18-Datos!T18)/Datos!T18,(Datos!J18+Datos!AD18-(Datos!T18+Datos!AL18))/(Datos!T18+Datos!AL18))
     ),IF(D_I="SI",(Datos!J18-Datos!T18)/Datos!T18,(Datos!J18+Datos!AD18-(Datos!T18+Datos!AL18))/(Datos!T18+Datos!AL18))," - ")</f>
        <v>2.6315789473684209E-2</v>
      </c>
      <c r="D18" s="516">
        <f>IF(ISNUMBER(
   IF(D_I="SI",(Datos!K18-Datos!U18)/Datos!U18,(Datos!K18+Datos!AE18-(Datos!U18+Datos!AM18))/(Datos!U18+Datos!AM18))
     ),IF(D_I="SI",(Datos!K18-Datos!U18)/Datos!U18,(Datos!K18+Datos!AE18-(Datos!U18+Datos!AM18))/(Datos!U18+Datos!AM18))," - ")</f>
        <v>0.1173974540311174</v>
      </c>
      <c r="E18" s="516">
        <f>IF(ISNUMBER(
   IF(D_I="SI",(Datos!L18-Datos!V18)/Datos!V18,(Datos!L18+Datos!AF18-(Datos!V18+Datos!AN18))/(Datos!V18+Datos!AN18))
     ),IF(D_I="SI",(Datos!L18-Datos!V18)/Datos!V18,(Datos!L18+Datos!AF18-(Datos!V18+Datos!AN18))/(Datos!V18+Datos!AN18))," - ")</f>
        <v>-0.33333333333333331</v>
      </c>
      <c r="F18" s="516">
        <f>IF(ISNUMBER((Datos!M18-Datos!W18)/Datos!W18),(Datos!M18-Datos!W18)/Datos!W18," - ")</f>
        <v>0.43055555555555558</v>
      </c>
      <c r="G18" s="517">
        <f>IF(ISNUMBER((Datos!N18-Datos!X18)/Datos!X18),(Datos!N18-Datos!X18)/Datos!X18," - ")</f>
        <v>-0.12195121951219512</v>
      </c>
      <c r="H18" s="515">
        <f>IF(ISNUMBER(((NºAsuntos!G18/NºAsuntos!E18)-Datos!BD18)/Datos!BD18),((NºAsuntos!G18/NºAsuntos!E18)-Datos!BD18)/Datos!BD18," - ")</f>
        <v>8.8746237261088837E-2</v>
      </c>
      <c r="I18" s="516">
        <f>IF(ISNUMBER(((NºAsuntos!I18/NºAsuntos!G18)-Datos!BE18)/Datos!BE18),((NºAsuntos!I18/NºAsuntos!G18)-Datos!BE18)/Datos!BE18," - ")</f>
        <v>-0.40337552742616034</v>
      </c>
      <c r="J18" s="522">
        <f>IF(ISNUMBER((('Resol  Asuntos'!D18/NºAsuntos!G18)-Datos!BF18)/Datos!BF18),(('Resol  Asuntos'!D18/NºAsuntos!G18)-Datos!BF18)/Datos!BF18," - ")</f>
        <v>0.28025668073136423</v>
      </c>
      <c r="K18" s="523">
        <f>IF(ISNUMBER((((NºAsuntos!C18+NºAsuntos!E18)/NºAsuntos!G18)-Datos!BG18)/Datos!BG18),(((NºAsuntos!C18+NºAsuntos!E18)/NºAsuntos!G18)-Datos!BG18)/Datos!BG18," - ")</f>
        <v>-5.1206664613689057E-2</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0.36126760563380284</v>
      </c>
      <c r="C23" s="1155">
        <f>IF(ISNUMBER(
   IF(Criterios!B14="SI",(Datos!J23-Datos!T23)/Datos!T23,(Datos!J23+Datos!AD23-(Datos!T23+Datos!AL23))/(Datos!T23+Datos!AL23))
     ),IF(Criterios!B14="SI",(Datos!J23-Datos!T23)/Datos!T23,(Datos!J23+Datos!AD23-(Datos!T23+Datos!AL23))/(Datos!T23+Datos!AL23))," - ")</f>
        <v>-9.1211037301992842E-2</v>
      </c>
      <c r="D23" s="1155">
        <f>IF(ISNUMBER(
   IF(Criterios!B14="SI",(Datos!K23-Datos!U23)/Datos!U23,(Datos!K23+Datos!AE23-(Datos!U23+Datos!AM23))/(Datos!U23+Datos!AM23))
     ),IF(Criterios!B14="SI",(Datos!K23-Datos!U23)/Datos!U23,(Datos!K23+Datos!AE23-(Datos!U23+Datos!AM23))/(Datos!U23+Datos!AM23))," - ")</f>
        <v>-4.3371522094926347E-2</v>
      </c>
      <c r="E23" s="1155">
        <f>IF(ISNUMBER(
   IF(Criterios!B14="SI",(Datos!L23-Datos!V23)/Datos!V23,(Datos!L23+Datos!AF23-(Datos!V23+Datos!AN23))/(Datos!V23+Datos!AN23))
     ),IF(Criterios!B14="SI",(Datos!L23-Datos!V23)/Datos!V23,(Datos!L23+Datos!AF23-(Datos!V23+Datos!AN23))/(Datos!V23+Datos!AN23))," - ")</f>
        <v>7.1391619244697363E-2</v>
      </c>
      <c r="F23" s="1156">
        <f>IF(ISNUMBER((Datos!M23-Datos!W23)/Datos!W23),(Datos!M23-Datos!W23)/Datos!W23," - ")</f>
        <v>0.16945606694560669</v>
      </c>
      <c r="G23" s="1157">
        <f>IF(ISNUMBER((Datos!N23-Datos!X23)/Datos!X23),(Datos!N23-Datos!X23)/Datos!X23," - ")</f>
        <v>6.1758782725441934E-2</v>
      </c>
      <c r="H23" s="1157">
        <f>IF(ISNUMBER(((NºAsuntos!G23/NºAsuntos!E23)-Datos!BD23)/Datos!BD23),((NºAsuntos!G23/NºAsuntos!E23)-Datos!BD23)/Datos!BD23," - ")</f>
        <v>5.2640950947556435E-2</v>
      </c>
      <c r="I23" s="1157">
        <f>IF(ISNUMBER(((NºAsuntos!I23/NºAsuntos!G23)-Datos!BE23)/Datos!BE23),((NºAsuntos!I23/NºAsuntos!G23)-Datos!BE23)/Datos!BE23," - ")</f>
        <v>0.11996626066468788</v>
      </c>
      <c r="J23" s="1157">
        <f>IF(ISNUMBER((('Resol  Asuntos'!D23/NºAsuntos!G23)-Datos!BF23)/Datos!BF23),(('Resol  Asuntos'!D23/NºAsuntos!G23)-Datos!BF23)/Datos!BF23," - ")</f>
        <v>0.2224767440611902</v>
      </c>
      <c r="K23" s="1157">
        <f>IF(ISNUMBER((((NºAsuntos!C23+NºAsuntos!E23)/NºAsuntos!G23)-Datos!BG23)/Datos!BG23),(((NºAsuntos!C23+NºAsuntos!E23)/NºAsuntos!G23)-Datos!BG23)/Datos!BG23," - ")</f>
        <v>2.261807329483399E-2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f>IF(ISNUMBER((Datos!I28-Datos!S28)/Datos!S28),(Datos!I28-Datos!S28)/Datos!S28," - ")</f>
        <v>-0.37931034482758619</v>
      </c>
      <c r="C28" s="516">
        <f>IF(ISNUMBER((Datos!J28-Datos!T28)/Datos!T28),(Datos!J28-Datos!T28)/Datos!T28," - ")</f>
        <v>7.9872204472843447E-3</v>
      </c>
      <c r="D28" s="516">
        <f>IF(ISNUMBER((Datos!K28-Datos!U28)/Datos!U28),(Datos!K28-Datos!U28)/Datos!U28," - ")</f>
        <v>-4.2187500000000003E-2</v>
      </c>
      <c r="E28" s="516">
        <f>IF(ISNUMBER((Datos!L28-Datos!V28)/Datos!V28),(Datos!L28-Datos!V28)/Datos!V28," - ")</f>
        <v>0.31111111111111112</v>
      </c>
      <c r="F28" s="516">
        <f>IF(ISNUMBER((Datos!M28-Datos!W28)/Datos!W28),(Datos!M28-Datos!W28)/Datos!W28," - ")</f>
        <v>3.5856573705179286E-2</v>
      </c>
      <c r="G28" s="517">
        <f>IF(ISNUMBER((Datos!N28-Datos!X28)/Datos!X28),(Datos!N28-Datos!X28)/Datos!X28," - ")</f>
        <v>-0.32666666666666666</v>
      </c>
      <c r="H28" s="515">
        <f>IF(ISNUMBER(((NºAsuntos!G28/NºAsuntos!E28)-Datos!BD28)/Datos!BD28),((NºAsuntos!G28/NºAsuntos!E28)-Datos!BD28)/Datos!BD28," - ")</f>
        <v>-4.9777139461172668E-2</v>
      </c>
      <c r="I28" s="516">
        <f>IF(ISNUMBER(((NºAsuntos!I28/NºAsuntos!G28)-Datos!BE28)/Datos!BE28),((NºAsuntos!I28/NºAsuntos!G28)-Datos!BE28)/Datos!BE28," - ")</f>
        <v>0.36885988762008343</v>
      </c>
      <c r="J28" s="522">
        <f>IF(ISNUMBER((('Resol  Asuntos'!D28/NºAsuntos!G28)-Datos!BF28)/Datos!BF28),(('Resol  Asuntos'!D28/NºAsuntos!G28)-Datos!BF28)/Datos!BF28," - ")</f>
        <v>8.1481577767234373E-2</v>
      </c>
      <c r="K28" s="523">
        <f>IF(ISNUMBER((((NºAsuntos!C28+NºAsuntos!E28)/NºAsuntos!G28)-Datos!BG28)/Datos!BG28),(((NºAsuntos!C28+NºAsuntos!E28)/NºAsuntos!G28)-Datos!BG28)/Datos!BG28," - ")</f>
        <v>-2.3661565349125908E-2</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f>IF(ISNUMBER((Datos!I30-Datos!S30)/Datos!S30),(Datos!I30-Datos!S30)/Datos!S30," - ")</f>
        <v>-0.37931034482758619</v>
      </c>
      <c r="C30" s="1155">
        <f>IF(ISNUMBER((Datos!J30-Datos!T30)/Datos!T30),(Datos!J30-Datos!T30)/Datos!T30," - ")</f>
        <v>7.9872204472843447E-3</v>
      </c>
      <c r="D30" s="1155">
        <f>IF(ISNUMBER((Datos!K30-Datos!U30)/Datos!U30),(Datos!K30-Datos!U30)/Datos!U30," - ")</f>
        <v>-4.2187500000000003E-2</v>
      </c>
      <c r="E30" s="1155">
        <f>IF(ISNUMBER((Datos!L30-Datos!V30)/Datos!V30),(Datos!L30-Datos!V30)/Datos!V30," - ")</f>
        <v>0.31111111111111112</v>
      </c>
      <c r="F30" s="1156">
        <f>IF(ISNUMBER((Datos!M30-Datos!W30)/Datos!W30),(Datos!M30-Datos!W30)/Datos!W30," - ")</f>
        <v>3.5856573705179286E-2</v>
      </c>
      <c r="G30" s="1157">
        <f>IF(ISNUMBER((Datos!N30-Datos!X30)/Datos!X30),(Datos!N30-Datos!X30)/Datos!X30," - ")</f>
        <v>-0.32666666666666666</v>
      </c>
      <c r="H30" s="1157">
        <f>IF(ISNUMBER(((NºAsuntos!G30/NºAsuntos!E30)-Datos!BD30)/Datos!BD30),((NºAsuntos!G30/NºAsuntos!E30)-Datos!BD30)/Datos!BD30," - ")</f>
        <v>-4.9777139461172668E-2</v>
      </c>
      <c r="I30" s="1157">
        <f>IF(ISNUMBER(((NºAsuntos!I30/NºAsuntos!G30)-Datos!BE30)/Datos!BE30),((NºAsuntos!I30/NºAsuntos!G30)-Datos!BE30)/Datos!BE30," - ")</f>
        <v>0.36885988762008343</v>
      </c>
      <c r="J30" s="1157">
        <f>IF(ISNUMBER((('Resol  Asuntos'!D30/NºAsuntos!G30)-Datos!BF30)/Datos!BF30),(('Resol  Asuntos'!D30/NºAsuntos!G30)-Datos!BF30)/Datos!BF30," - ")</f>
        <v>8.1481577767234373E-2</v>
      </c>
      <c r="K30" s="1157">
        <f>IF(ISNUMBER((((NºAsuntos!C30+NºAsuntos!E30)/NºAsuntos!G30)-Datos!BG30)/Datos!BG30),(((NºAsuntos!C30+NºAsuntos!E30)/NºAsuntos!G30)-Datos!BG30)/Datos!BG30," - ")</f>
        <v>-2.3661565349125908E-2</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0.30106979113601628</v>
      </c>
      <c r="C31" s="1095">
        <f>IF(ISNUMBER(
   IF(J_V="SI",(Datos!J31-Datos!T31)/Datos!T31,(Datos!J31+Datos!Z31-(Datos!T31+Datos!AH31))/(Datos!T31+Datos!AH31))
     ),IF(J_V="SI",(Datos!J31-Datos!T31)/Datos!T31,(Datos!J31+Datos!Z31-(Datos!T31+Datos!AH31))/(Datos!T31+Datos!AH31))," - ")</f>
        <v>3.4061075031090231E-2</v>
      </c>
      <c r="D31" s="1095">
        <f>IF(ISNUMBER(
   IF(J_V="SI",(Datos!K31-Datos!U31)/Datos!U31,(Datos!K31+Datos!AA31-(Datos!U31+Datos!AI31))/(Datos!U31+Datos!AI31))
     ),IF(J_V="SI",(Datos!K31-Datos!U31)/Datos!U31,(Datos!K31+Datos!AA31-(Datos!U31+Datos!AI31))/(Datos!U31+Datos!AI31))," - ")</f>
        <v>0.14072022160664821</v>
      </c>
      <c r="E31" s="1095">
        <f>IF(ISNUMBER(
   IF(J_V="SI",(Datos!L31-Datos!V31)/Datos!V31,(Datos!L31+Datos!AB31-(Datos!V31+Datos!AJ31))/(Datos!V31+Datos!AJ31))
     ),IF(J_V="SI",(Datos!L31-Datos!V31)/Datos!V31,(Datos!L31+Datos!AB31-(Datos!V31+Datos!AJ31))/(Datos!V31+Datos!AJ31))," - ")</f>
        <v>6.6040198381623602E-2</v>
      </c>
      <c r="F31" s="1096">
        <f>IF(ISNUMBER((Datos!M31-Datos!W31)/Datos!W31),(Datos!M31-Datos!W31)/Datos!W31," - ")</f>
        <v>0.24944616747895437</v>
      </c>
      <c r="G31" s="1097">
        <f>IF(ISNUMBER((Datos!N31-Datos!X31)/Datos!X31),(Datos!N31-Datos!X31)/Datos!X31," - ")</f>
        <v>0.22782925215089345</v>
      </c>
      <c r="H31" s="1098">
        <f>IF(ISNUMBER((Tasas!B31-Datos!BD31)/Datos!BD31),(Tasas!B31-Datos!BD31)/Datos!BD31," - ")</f>
        <v>0.10314588678657212</v>
      </c>
      <c r="I31" s="1099">
        <f>IF(ISNUMBER((Tasas!C31-Datos!BE31)/Datos!BE31),(Tasas!C31-Datos!BE31)/Datos!BE31," - ")</f>
        <v>-6.546743172470576E-2</v>
      </c>
      <c r="J31" s="1100">
        <f>IF(ISNUMBER((Tasas!D31-Datos!BF31)/Datos!BF31),(Tasas!D31-Datos!BF31)/Datos!BF31," - ")</f>
        <v>-5.4999086578948517E-2</v>
      </c>
      <c r="K31" s="1100">
        <f>IF(ISNUMBER((Tasas!E31-Datos!BG31)/Datos!BG31),(Tasas!E31-Datos!BG31)/Datos!BG31," - ")</f>
        <v>-2.5808219953068003E-2</v>
      </c>
    </row>
    <row r="32" spans="1:11">
      <c r="A32" s="460"/>
      <c r="B32" s="460"/>
      <c r="C32" s="460"/>
      <c r="D32" s="460"/>
      <c r="E32" s="460"/>
    </row>
    <row r="33" spans="1:12" ht="70.5" customHeight="1">
      <c r="A33" s="1585" t="s">
        <v>198</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T7XQT5F/ZQkXM/gfVnCemu7gvFeVSobiPzFu1CkUMUvNmTP8SgY4VAMo37VS/4nnJ/9O/fZFglEppwXDWU1j9g==" saltValue="3dMaS4STtak6+NfMdVox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CANARIAS</v>
      </c>
    </row>
    <row r="3" spans="1:7" ht="19.5">
      <c r="A3" s="492" t="s">
        <v>17</v>
      </c>
      <c r="B3" s="440" t="str">
        <f>Criterios!A10 &amp;"  "&amp;Criterios!B10</f>
        <v>Provincias  LAS PALMAS</v>
      </c>
    </row>
    <row r="4" spans="1:7" ht="11.25" customHeight="1" thickBot="1">
      <c r="B4" s="440" t="str">
        <f>Criterios!A11 &amp;"  "&amp;Criterios!B11</f>
        <v>Resumenes por Partidos Judiciales  PUERTO DEL ROSARIO</v>
      </c>
    </row>
    <row r="5" spans="1:7" ht="12.75" customHeight="1">
      <c r="A5" s="1565" t="str">
        <f>"Año:  " &amp;Criterios!B5 &amp; "    Trimestre   " &amp;Criterios!D5 &amp; " al " &amp;Criterios!D6</f>
        <v>Año:  2021    Trimestre   1 al 4</v>
      </c>
      <c r="B5" s="1559" t="s">
        <v>126</v>
      </c>
      <c r="C5" s="1559" t="s">
        <v>127</v>
      </c>
      <c r="D5" s="1559" t="s">
        <v>128</v>
      </c>
      <c r="E5" s="1559" t="s">
        <v>129</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0.90909090909090906</v>
      </c>
      <c r="C10" s="499">
        <f>IF(ISNUMBER(NºAsuntos!I10/NºAsuntos!G10),NºAsuntos!I10/NºAsuntos!G10," - ")</f>
        <v>0.82857142857142863</v>
      </c>
      <c r="D10" s="500">
        <f>IF(ISNUMBER('Resol  Asuntos'!D10/NºAsuntos!G10),'Resol  Asuntos'!D10/NºAsuntos!G10," - ")</f>
        <v>0.51428571428571423</v>
      </c>
      <c r="E10" s="501">
        <f>IF(ISNUMBER((NºAsuntos!C10+NºAsuntos!E10)/NºAsuntos!G10),(NºAsuntos!C10+NºAsuntos!E10)/NºAsuntos!G10," - ")</f>
        <v>1.9714285714285715</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0.93995801259622114</v>
      </c>
      <c r="C12" s="499">
        <f>IF(ISNUMBER(NºAsuntos!I12/NºAsuntos!G12),NºAsuntos!I12/NºAsuntos!G12," - ")</f>
        <v>0.88162596783799885</v>
      </c>
      <c r="D12" s="500">
        <f>IF(ISNUMBER('Resol  Asuntos'!D12/NºAsuntos!G12),'Resol  Asuntos'!D12/NºAsuntos!G12," - ")</f>
        <v>0.20935080405002979</v>
      </c>
      <c r="E12" s="501">
        <f>IF(ISNUMBER((NºAsuntos!C12+NºAsuntos!E12)/NºAsuntos!G12),(NºAsuntos!C12+NºAsuntos!E12)/NºAsuntos!G12," - ")</f>
        <v>1.8944312090530078</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0.93962891165882023</v>
      </c>
      <c r="C14" s="1159">
        <f>IF(ISNUMBER(NºAsuntos!I14/NºAsuntos!G14),NºAsuntos!I14/NºAsuntos!G14," - ")</f>
        <v>0.88107869142351902</v>
      </c>
      <c r="D14" s="1160">
        <f>IF(ISNUMBER('Resol  Asuntos'!D14/NºAsuntos!G14),'Resol  Asuntos'!D14/NºAsuntos!G14," - ")</f>
        <v>0.21249631594459181</v>
      </c>
      <c r="E14" s="1161">
        <f>IF(ISNUMBER((NºAsuntos!C14+NºAsuntos!E14)/NºAsuntos!G14),(NºAsuntos!C14+NºAsuntos!E14)/NºAsuntos!G14," - ")</f>
        <v>1.8952254641909814</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0.97662011611485955</v>
      </c>
      <c r="C17" s="499">
        <f>IF(ISNUMBER(NºAsuntos!I17/NºAsuntos!G17),NºAsuntos!I17/NºAsuntos!G17," - ")</f>
        <v>0.32342544987146532</v>
      </c>
      <c r="D17" s="500">
        <f>IF(ISNUMBER('Resol  Asuntos'!D17/NºAsuntos!G17),'Resol  Asuntos'!D17/NºAsuntos!G17," - ")</f>
        <v>0.14652956298200515</v>
      </c>
      <c r="E17" s="501">
        <f>IF(ISNUMBER((NºAsuntos!C17+NºAsuntos!E17)/NºAsuntos!G17),(NºAsuntos!C17+NºAsuntos!E17)/NºAsuntos!G17," - ")</f>
        <v>1.3205334190231361</v>
      </c>
      <c r="G17" s="524"/>
    </row>
    <row r="18" spans="1:7">
      <c r="A18" s="451" t="str">
        <f>Datos!A18</f>
        <v>Jdos. Violencia contra la mujer</v>
      </c>
      <c r="B18" s="498">
        <f>IF(ISNUMBER(NºAsuntos!G18/NºAsuntos!E18),NºAsuntos!G18/NºAsuntos!E18," - ")</f>
        <v>1.0661268556005399</v>
      </c>
      <c r="C18" s="499">
        <f>IF(ISNUMBER(NºAsuntos!I18/NºAsuntos!G18),NºAsuntos!I18/NºAsuntos!G18," - ")</f>
        <v>7.3417721518987344E-2</v>
      </c>
      <c r="D18" s="500">
        <f>IF(ISNUMBER('Resol  Asuntos'!D18/NºAsuntos!G18),'Resol  Asuntos'!D18/NºAsuntos!G18," - ")</f>
        <v>0.26075949367088608</v>
      </c>
      <c r="E18" s="501">
        <f>IF(ISNUMBER((NºAsuntos!C18+NºAsuntos!E18)/NºAsuntos!G18),(NºAsuntos!C18+NºAsuntos!E18)/NºAsuntos!G18," - ")</f>
        <v>1.0481012658227848</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0.98594321057070566</v>
      </c>
      <c r="C23" s="1159">
        <f>IF(ISNUMBER(NºAsuntos!I23/NºAsuntos!G23),NºAsuntos!I23/NºAsuntos!G23," - ")</f>
        <v>0.29526660963786711</v>
      </c>
      <c r="D23" s="1162">
        <f>IF(ISNUMBER('Resol  Asuntos'!D23/NºAsuntos!G23),'Resol  Asuntos'!D23/NºAsuntos!G23," - ")</f>
        <v>0.15939549472483605</v>
      </c>
      <c r="E23" s="1161">
        <f>IF(ISNUMBER((NºAsuntos!C23+NºAsuntos!E23)/NºAsuntos!G23),(NºAsuntos!C23+NºAsuntos!E23)/NºAsuntos!G23," - ")</f>
        <v>1.289848873681209</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f>IF(ISNUMBER(NºAsuntos!G28/NºAsuntos!E28),NºAsuntos!G28/NºAsuntos!E28," - ")</f>
        <v>0.97147385103011097</v>
      </c>
      <c r="C28" s="499">
        <f>IF(ISNUMBER(NºAsuntos!I28/NºAsuntos!G28),NºAsuntos!I28/NºAsuntos!G28," - ")</f>
        <v>0.19249592169657423</v>
      </c>
      <c r="D28" s="500">
        <f>IF(ISNUMBER('Resol  Asuntos'!D28/NºAsuntos!G28),'Resol  Asuntos'!D28/NºAsuntos!G28," - ")</f>
        <v>0.42414355628058725</v>
      </c>
      <c r="E28" s="501">
        <f>IF(ISNUMBER((NºAsuntos!C28+NºAsuntos!E28)/NºAsuntos!G28),(NºAsuntos!C28+NºAsuntos!E28)/NºAsuntos!G28," - ")</f>
        <v>1.1761827079934748</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f>IF(ISNUMBER(NºAsuntos!G30/NºAsuntos!E30),NºAsuntos!G30/NºAsuntos!E30," - ")</f>
        <v>0.97147385103011097</v>
      </c>
      <c r="C30" s="1159">
        <f>IF(ISNUMBER(NºAsuntos!I30/NºAsuntos!G30),NºAsuntos!I30/NºAsuntos!G30," - ")</f>
        <v>0.19249592169657423</v>
      </c>
      <c r="D30" s="1162">
        <f>IF(ISNUMBER('Resol  Asuntos'!D30/NºAsuntos!G30),'Resol  Asuntos'!D30/NºAsuntos!G30," - ")</f>
        <v>0.42414355628058725</v>
      </c>
      <c r="E30" s="1161">
        <f>IF(ISNUMBER((NºAsuntos!C30+NºAsuntos!E30)/NºAsuntos!G30),(NºAsuntos!C30+NºAsuntos!E30)/NºAsuntos!G30," - ")</f>
        <v>1.1761827079934748</v>
      </c>
      <c r="G30" s="524"/>
    </row>
    <row r="31" spans="1:7" ht="15.75" customHeight="1" thickTop="1" thickBot="1">
      <c r="A31" s="1086" t="str">
        <f>Datos!A31</f>
        <v>TOTAL JURISDICCIONES</v>
      </c>
      <c r="B31" s="1101">
        <f>IF(ISNUMBER(NºAsuntos!G31/NºAsuntos!E31),NºAsuntos!G31/NºAsuntos!E31," - ")</f>
        <v>0.96298523418186677</v>
      </c>
      <c r="C31" s="1102">
        <f>IF(ISNUMBER(NºAsuntos!I31/NºAsuntos!G31),NºAsuntos!I31/NºAsuntos!G31," - ")</f>
        <v>0.566710608478457</v>
      </c>
      <c r="D31" s="1103">
        <f>IF(ISNUMBER('Resol  Asuntos'!D31/NºAsuntos!G31),'Resol  Asuntos'!D31/NºAsuntos!G31," - ")</f>
        <v>0.19565669881357109</v>
      </c>
      <c r="E31" s="1104">
        <f>IF(ISNUMBER((NºAsuntos!C31+NºAsuntos!E31)/NºAsuntos!G31),(NºAsuntos!C31+NºAsuntos!E31)/NºAsuntos!G31," - ")</f>
        <v>1.570040935266773</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3oisvb32UdAh34xxJlS/RGF4f6kG66uuJToYFHcH/gYcinHRbsRZLF8mD8yoy97namj8sS6jIlsCeshFZ1kXaA==" saltValue="rxrmC9CaCETJGPgARCRi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PUERTO DEL ROSARIO</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460</v>
      </c>
      <c r="B5" s="297"/>
      <c r="C5" s="1645" t="str">
        <f>"Año:  " &amp;Criterios!B$5 &amp; "          Trimestre   " &amp;Criterios!D$5 &amp; " al " &amp;Criterios!D$6</f>
        <v>Año:  2021          Trimestre   1 al 4</v>
      </c>
      <c r="D5" s="1602" t="s">
        <v>486</v>
      </c>
      <c r="E5" s="1602" t="s">
        <v>408</v>
      </c>
      <c r="F5" s="1647" t="s">
        <v>522</v>
      </c>
      <c r="G5" s="1650" t="s">
        <v>169</v>
      </c>
      <c r="H5" s="1609" t="s">
        <v>217</v>
      </c>
      <c r="I5" s="1609" t="s">
        <v>221</v>
      </c>
      <c r="J5" s="1609" t="s">
        <v>222</v>
      </c>
      <c r="K5" s="1609" t="s">
        <v>523</v>
      </c>
      <c r="L5" s="1609" t="s">
        <v>780</v>
      </c>
      <c r="M5" s="1609" t="s">
        <v>414</v>
      </c>
      <c r="N5" s="1609" t="s">
        <v>487</v>
      </c>
      <c r="O5" s="1609" t="s">
        <v>525</v>
      </c>
      <c r="P5" s="1609" t="s">
        <v>220</v>
      </c>
      <c r="Q5" s="1609" t="s">
        <v>56</v>
      </c>
      <c r="R5" s="1621" t="s">
        <v>223</v>
      </c>
      <c r="S5" s="1624" t="s">
        <v>226</v>
      </c>
      <c r="T5" s="1615" t="s">
        <v>227</v>
      </c>
      <c r="U5" s="1612" t="s">
        <v>228</v>
      </c>
      <c r="V5" s="1636" t="s">
        <v>412</v>
      </c>
      <c r="W5" s="1653" t="s">
        <v>229</v>
      </c>
      <c r="X5" s="1656" t="s">
        <v>230</v>
      </c>
      <c r="Y5" s="1656" t="s">
        <v>231</v>
      </c>
      <c r="Z5" s="1639" t="s">
        <v>232</v>
      </c>
      <c r="AA5" s="1627" t="s">
        <v>233</v>
      </c>
      <c r="AB5" s="1609" t="s">
        <v>234</v>
      </c>
      <c r="AC5" s="1609" t="s">
        <v>235</v>
      </c>
      <c r="AD5" s="1659" t="s">
        <v>236</v>
      </c>
      <c r="AE5" s="1602" t="s">
        <v>239</v>
      </c>
      <c r="AF5" s="1630" t="s">
        <v>237</v>
      </c>
      <c r="AG5" s="1609" t="s">
        <v>238</v>
      </c>
      <c r="AH5" s="1621" t="s">
        <v>257</v>
      </c>
      <c r="AI5" s="1627" t="s">
        <v>240</v>
      </c>
      <c r="AJ5" s="1633" t="s">
        <v>317</v>
      </c>
      <c r="AK5" s="1618" t="s">
        <v>318</v>
      </c>
      <c r="AL5" s="1602" t="s">
        <v>319</v>
      </c>
      <c r="AM5" s="1602" t="s">
        <v>468</v>
      </c>
      <c r="AN5" s="1602" t="s">
        <v>320</v>
      </c>
      <c r="AO5" s="1602" t="s">
        <v>321</v>
      </c>
      <c r="AP5" s="1602" t="s">
        <v>381</v>
      </c>
      <c r="AQ5" s="1602" t="s">
        <v>241</v>
      </c>
      <c r="AR5" s="1602" t="s">
        <v>242</v>
      </c>
      <c r="AS5" s="1602" t="s">
        <v>498</v>
      </c>
      <c r="AT5" s="1602" t="s">
        <v>370</v>
      </c>
      <c r="AU5" s="1602" t="s">
        <v>371</v>
      </c>
      <c r="AV5" s="1602" t="s">
        <v>431</v>
      </c>
      <c r="AW5" s="1602" t="s">
        <v>413</v>
      </c>
      <c r="AX5" s="1602" t="s">
        <v>1010</v>
      </c>
      <c r="AY5" s="1602" t="s">
        <v>1011</v>
      </c>
      <c r="BE5" s="1607" t="s">
        <v>258</v>
      </c>
      <c r="BF5" s="1608"/>
      <c r="BG5" s="1607" t="s">
        <v>259</v>
      </c>
      <c r="BH5" s="1608"/>
      <c r="BI5" s="1607" t="s">
        <v>260</v>
      </c>
      <c r="BJ5" s="1608"/>
      <c r="BK5" s="1607" t="s">
        <v>261</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218</v>
      </c>
      <c r="BF6" s="1605" t="s">
        <v>219</v>
      </c>
      <c r="BG6" s="1605" t="s">
        <v>218</v>
      </c>
      <c r="BH6" s="1605" t="s">
        <v>219</v>
      </c>
      <c r="BI6" s="1605" t="s">
        <v>218</v>
      </c>
      <c r="BJ6" s="1605" t="s">
        <v>219</v>
      </c>
      <c r="BK6" s="1605" t="s">
        <v>218</v>
      </c>
      <c r="BL6" s="1605" t="s">
        <v>219</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316</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316</v>
      </c>
      <c r="C10" s="7" t="str">
        <f>Datos!A10</f>
        <v>Jdos. Violencia contra la mujer</v>
      </c>
      <c r="D10" s="7"/>
      <c r="E10" s="290">
        <f>IF(ISNUMBER(Datos!AQ10),Datos!AQ10," - ")</f>
        <v>0</v>
      </c>
      <c r="F10" s="239">
        <f>IF(ISNUMBER(Datos!L10+Datos!K10-Datos!J10-K10),Datos!L10+Datos!K10-Datos!J10-K10," - ")</f>
        <v>51</v>
      </c>
      <c r="G10" s="373">
        <f>IF(ISNUMBER(Datos!I10),Datos!I10," - ")</f>
        <v>61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70</v>
      </c>
      <c r="X10" s="240">
        <f>IF(ISNUMBER(Datos!Q10),Datos!Q10," - ")</f>
        <v>1</v>
      </c>
      <c r="Y10" s="374">
        <f t="shared" ref="Y10:Y13" si="0">SUM(W10:X10)</f>
        <v>71</v>
      </c>
      <c r="Z10" s="375" t="str">
        <f>IF(ISNUMBER(Datos!CC10),Datos!CC10," - ")</f>
        <v xml:space="preserve"> - </v>
      </c>
      <c r="AA10" s="372">
        <f>IF(ISNUMBER(Datos!L10),Datos!L10,"-")</f>
        <v>58</v>
      </c>
      <c r="AB10" s="374">
        <f>IF(ISNUMBER(Datos!R10),Datos!R10," - ")</f>
        <v>16</v>
      </c>
      <c r="AC10" s="374">
        <f t="shared" ref="AC10:AC13" si="1">IF(ISNUMBER(AA10+AB10),AA10+AB10," - ")</f>
        <v>74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36</v>
      </c>
      <c r="AJ10" s="245" t="str">
        <f>IF(ISNUMBER(Datos!BW10),Datos!BW10," - ")</f>
        <v xml:space="preserve"> - </v>
      </c>
      <c r="AK10" s="246" t="str">
        <f>IF(ISNUMBER(Datos!BX10),Datos!BX10," - ")</f>
        <v xml:space="preserve"> - </v>
      </c>
      <c r="AL10" s="266">
        <f>IF(ISNUMBER(NºAsuntos!G10/NºAsuntos!E10),NºAsuntos!G10/NºAsuntos!E10," - ")</f>
        <v>0.90909090909090906</v>
      </c>
      <c r="AM10" s="284">
        <f>IF(ISNUMBER(((NºAsuntos!I10/NºAsuntos!G10)*11)/factor_trimestre),((NºAsuntos!I10/NºAsuntos!G10)*11)/factor_trimestre," - ")</f>
        <v>9.1142857142857157</v>
      </c>
      <c r="AN10" s="267">
        <f>IF(ISNUMBER('Resol  Asuntos'!D10/NºAsuntos!G10),'Resol  Asuntos'!D10/NºAsuntos!G10," - ")</f>
        <v>0.51428571428571423</v>
      </c>
      <c r="AO10" s="268">
        <f>IF(ISNUMBER((NºAsuntos!C10+NºAsuntos!E10)/NºAsuntos!G10),(NºAsuntos!C10+NºAsuntos!E10)/NºAsuntos!G10," - ")</f>
        <v>1.9714285714285715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316</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7</v>
      </c>
      <c r="B12" s="300" t="s">
        <v>316</v>
      </c>
      <c r="C12" s="7" t="str">
        <f>Datos!A12</f>
        <v xml:space="preserve">Jdos. 1ª Instª. e Instr.                        </v>
      </c>
      <c r="D12" s="7"/>
      <c r="E12" s="290">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1163</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1102</v>
      </c>
      <c r="Y12" s="374">
        <f t="shared" si="0"/>
        <v>1102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6628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1406</v>
      </c>
      <c r="AJ12" s="243" t="str">
        <f>IF(ISNUMBER(Datos!BW12),Datos!BW12," - ")</f>
        <v xml:space="preserve"> - </v>
      </c>
      <c r="AK12" s="242" t="str">
        <f>IF(ISNUMBER(Datos!BX12),Datos!BX12," - ")</f>
        <v xml:space="preserve"> - </v>
      </c>
      <c r="AL12" s="266">
        <f>IF(ISNUMBER(NºAsuntos!G12/NºAsuntos!E12),NºAsuntos!G12/NºAsuntos!E12," - ")</f>
        <v>0.93995801259622114</v>
      </c>
      <c r="AM12" s="284">
        <f>IF(ISNUMBER(((NºAsuntos!I12/NºAsuntos!G12)*11)/factor_trimestre),((NºAsuntos!I12/NºAsuntos!G12)*11)/factor_trimestre," - ")</f>
        <v>9.697885646217987</v>
      </c>
      <c r="AN12" s="267">
        <f>IF(ISNUMBER('Resol  Asuntos'!D12/NºAsuntos!G12),'Resol  Asuntos'!D12/NºAsuntos!G12," - ")</f>
        <v>0.20935080405002979</v>
      </c>
      <c r="AO12" s="268">
        <f>IF(ISNUMBER((NºAsuntos!C12+NºAsuntos!E12)/NºAsuntos!G12),(NºAsuntos!C12+NºAsuntos!E12)/NºAsuntos!G12," - ")</f>
        <v>1.8944312090530078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316</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7</v>
      </c>
      <c r="F14" s="1165">
        <f t="shared" si="5"/>
        <v>51</v>
      </c>
      <c r="G14" s="1166">
        <f t="shared" si="5"/>
        <v>61</v>
      </c>
      <c r="H14" s="1165">
        <f t="shared" si="5"/>
        <v>0</v>
      </c>
      <c r="I14" s="1167">
        <f t="shared" si="5"/>
        <v>0</v>
      </c>
      <c r="J14" s="1167">
        <f t="shared" si="5"/>
        <v>0</v>
      </c>
      <c r="K14" s="1167">
        <f t="shared" si="5"/>
        <v>0</v>
      </c>
      <c r="L14" s="1167">
        <f t="shared" si="5"/>
        <v>1165</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70</v>
      </c>
      <c r="X14" s="1167">
        <f t="shared" si="6"/>
        <v>1103</v>
      </c>
      <c r="Y14" s="1168">
        <f t="shared" si="6"/>
        <v>1173</v>
      </c>
      <c r="Z14" s="1168">
        <f t="shared" si="6"/>
        <v>0</v>
      </c>
      <c r="AA14" s="1168">
        <f t="shared" si="6"/>
        <v>58</v>
      </c>
      <c r="AB14" s="1168">
        <f t="shared" si="6"/>
        <v>6644</v>
      </c>
      <c r="AC14" s="1168">
        <f t="shared" si="6"/>
        <v>74</v>
      </c>
      <c r="AD14" s="1168">
        <f t="shared" si="6"/>
        <v>0</v>
      </c>
      <c r="AE14" s="1172">
        <f t="shared" si="6"/>
        <v>0</v>
      </c>
      <c r="AF14" s="1165">
        <f t="shared" si="6"/>
        <v>0</v>
      </c>
      <c r="AG14" s="1173">
        <f t="shared" si="6"/>
        <v>0</v>
      </c>
      <c r="AH14" s="1170">
        <f t="shared" si="6"/>
        <v>0</v>
      </c>
      <c r="AI14" s="1165">
        <f t="shared" si="6"/>
        <v>1442</v>
      </c>
      <c r="AJ14" s="1167">
        <f t="shared" si="6"/>
        <v>0</v>
      </c>
      <c r="AK14" s="1170">
        <f>SUBTOTAL(9,AK9:AK13)</f>
        <v>0</v>
      </c>
      <c r="AL14" s="1174">
        <f>IF(ISNUMBER(NºAsuntos!G14/NºAsuntos!E14),NºAsuntos!G14/NºAsuntos!E14," - ")</f>
        <v>0.93962891165882023</v>
      </c>
      <c r="AM14" s="1174">
        <f>IF(ISNUMBER(((NºAsuntos!I14/NºAsuntos!G14)*11)/factor_trimestre),((NºAsuntos!I14/NºAsuntos!G14)*11)/factor_trimestre," - ")</f>
        <v>9.6918656056587089</v>
      </c>
      <c r="AN14" s="1175">
        <f>IF(ISNUMBER('Resol  Asuntos'!D14/NºAsuntos!G14),'Resol  Asuntos'!D14/NºAsuntos!G14," - ")</f>
        <v>0.21249631594459181</v>
      </c>
      <c r="AO14" s="1176">
        <f>IF(ISNUMBER((NºAsuntos!C14+NºAsuntos!E14)/NºAsuntos!G14),(NºAsuntos!C14+NºAsuntos!E14)/NºAsuntos!G14," - ")</f>
        <v>1.8952254641909814</v>
      </c>
      <c r="AP14" s="1177" t="str">
        <f t="shared" si="2"/>
        <v xml:space="preserve"> - </v>
      </c>
      <c r="AQ14" s="1177">
        <f>IF(ISNUMBER((H14-W14+K14)/(F14)),(H14-W14+K14)/(F14)," - ")</f>
        <v>-1.3725490196078431</v>
      </c>
      <c r="AR14" s="1178">
        <f>IF(ISNUMBER((Datos!P14-Datos!Q14)/(Datos!R14-Datos!P14+Datos!Q14)),(Datos!P14-Datos!Q14)/(Datos!R14-Datos!P14+Datos!Q14)," - ")</f>
        <v>9.4196292920085082E-3</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506</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7</v>
      </c>
      <c r="B17" s="300" t="s">
        <v>506</v>
      </c>
      <c r="C17" s="173" t="str">
        <f>Datos!A17</f>
        <v xml:space="preserve">Jdos. 1ª Instª. e Instr.                        </v>
      </c>
      <c r="D17" s="173"/>
      <c r="E17" s="290">
        <f>IF(ISNUMBER(Datos!AQ17),Datos!AQ17," - ")</f>
        <v>7</v>
      </c>
      <c r="F17" s="239">
        <f>IF(ISNUMBER(AA17+W17-Datos!J17-K17),AA17+W17-Datos!J17-K17," - ")</f>
        <v>1864</v>
      </c>
      <c r="G17" s="373">
        <f>IF(ISNUMBER(IF(D_I="SI",Datos!I17,Datos!I17+Datos!AC17)),IF(D_I="SI",Datos!I17,Datos!I17+Datos!AC17)," - ")</f>
        <v>1846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338</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6224</v>
      </c>
      <c r="X17" s="240">
        <f>IF(ISNUMBER(Datos!Q17),Datos!Q17," - ")</f>
        <v>213</v>
      </c>
      <c r="Y17" s="374">
        <f t="shared" ref="Y17:Y22" si="9">SUM(W17:X17)</f>
        <v>6437</v>
      </c>
      <c r="Z17" s="375" t="str">
        <f>IF(ISNUMBER(Datos!CC17),Datos!CC17," - ")</f>
        <v xml:space="preserve"> - </v>
      </c>
      <c r="AA17" s="372">
        <f>IF(ISNUMBER(IF(D_I="SI",Datos!L17,Datos!L17+Datos!AF17)),IF(D_I="SI",Datos!L17,Datos!L17+Datos!AF17)," - ")</f>
        <v>2013</v>
      </c>
      <c r="AB17" s="374">
        <f>IF(ISNUMBER(Datos!R17),Datos!R17," - ")</f>
        <v>588</v>
      </c>
      <c r="AC17" s="374">
        <f t="shared" si="8"/>
        <v>2601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912</v>
      </c>
      <c r="AJ17" s="245" t="str">
        <f>IF(ISNUMBER(Datos!BW17),Datos!BW17," - ")</f>
        <v xml:space="preserve"> - </v>
      </c>
      <c r="AK17" s="246" t="str">
        <f>IF(ISNUMBER(Datos!BX17),Datos!BX17," - ")</f>
        <v xml:space="preserve"> - </v>
      </c>
      <c r="AL17" s="266">
        <f>IF(ISNUMBER(NºAsuntos!G17/NºAsuntos!E17),NºAsuntos!G17/NºAsuntos!E17," - ")</f>
        <v>0.97662011611485955</v>
      </c>
      <c r="AM17" s="284">
        <f>IF(ISNUMBER(((NºAsuntos!I17/NºAsuntos!G17)*11)/factor_trimestre),((NºAsuntos!I17/NºAsuntos!G17)*11)/factor_trimestre," - ")</f>
        <v>3.5576799485861184</v>
      </c>
      <c r="AN17" s="267">
        <f>IF(ISNUMBER('Resol  Asuntos'!D17/NºAsuntos!G17),'Resol  Asuntos'!D17/NºAsuntos!G17," - ")</f>
        <v>0.14652956298200515</v>
      </c>
      <c r="AO17" s="268">
        <f>IF(ISNUMBER((NºAsuntos!C17+NºAsuntos!E17)/NºAsuntos!G17),(NºAsuntos!C17+NºAsuntos!E17)/NºAsuntos!G17," - ")</f>
        <v>1.3205334190231361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506</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87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61</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790</v>
      </c>
      <c r="X18" s="240">
        <f>IF(ISNUMBER(Datos!Q18),Datos!Q18," - ")</f>
        <v>59</v>
      </c>
      <c r="Y18" s="374">
        <f t="shared" si="9"/>
        <v>849</v>
      </c>
      <c r="Z18" s="375" t="str">
        <f>IF(ISNUMBER(Datos!CC18),Datos!CC18," - ")</f>
        <v xml:space="preserve"> - </v>
      </c>
      <c r="AA18" s="372">
        <f>IF(ISNUMBER(Datos!L18),Datos!L18,"-")</f>
        <v>58</v>
      </c>
      <c r="AB18" s="374">
        <f>IF(ISNUMBER(Datos!R18),Datos!R18," - ")</f>
        <v>27</v>
      </c>
      <c r="AC18" s="374">
        <f t="shared" si="8"/>
        <v>85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206</v>
      </c>
      <c r="AJ18" s="245" t="str">
        <f>IF(ISNUMBER(Datos!BW18),Datos!BW18," - ")</f>
        <v xml:space="preserve"> - </v>
      </c>
      <c r="AK18" s="246" t="str">
        <f>IF(ISNUMBER(Datos!BX18),Datos!BX18," - ")</f>
        <v xml:space="preserve"> - </v>
      </c>
      <c r="AL18" s="266">
        <f>IF(ISNUMBER(NºAsuntos!G18/NºAsuntos!E18),NºAsuntos!G18/NºAsuntos!E18," - ")</f>
        <v>1.0661268556005399</v>
      </c>
      <c r="AM18" s="284">
        <f>IF(ISNUMBER(((NºAsuntos!I18/NºAsuntos!G18)*11)/factor_trimestre),((NºAsuntos!I18/NºAsuntos!G18)*11)/factor_trimestre," - ")</f>
        <v>0.80759493670886084</v>
      </c>
      <c r="AN18" s="267">
        <f>IF(ISNUMBER('Resol  Asuntos'!D18/NºAsuntos!G18),'Resol  Asuntos'!D18/NºAsuntos!G18," - ")</f>
        <v>0.26075949367088608</v>
      </c>
      <c r="AO18" s="268">
        <f>IF(ISNUMBER((NºAsuntos!C18+NºAsuntos!E18)/NºAsuntos!G18),(NºAsuntos!C18+NºAsuntos!E18)/NºAsuntos!G18," - ")</f>
        <v>1.0481012658227848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506</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506</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506</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506</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7</v>
      </c>
      <c r="F23" s="1165">
        <f>SUBTOTAL(9,F15:F22)</f>
        <v>1864</v>
      </c>
      <c r="G23" s="1166">
        <f>SUBTOTAL(9,G16:G22)</f>
        <v>1933</v>
      </c>
      <c r="H23" s="1165">
        <f t="shared" ref="H23:O23" si="13">SUBTOTAL(9,H15:H22)</f>
        <v>0</v>
      </c>
      <c r="I23" s="1167">
        <f t="shared" si="13"/>
        <v>0</v>
      </c>
      <c r="J23" s="1167">
        <f t="shared" si="13"/>
        <v>0</v>
      </c>
      <c r="K23" s="1167">
        <f t="shared" si="13"/>
        <v>0</v>
      </c>
      <c r="L23" s="1167">
        <f t="shared" si="13"/>
        <v>399</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7014</v>
      </c>
      <c r="X23" s="1167">
        <f t="shared" si="14"/>
        <v>272</v>
      </c>
      <c r="Y23" s="1168">
        <f t="shared" si="14"/>
        <v>7286</v>
      </c>
      <c r="Z23" s="1168">
        <f t="shared" si="14"/>
        <v>0</v>
      </c>
      <c r="AA23" s="1168">
        <f t="shared" si="14"/>
        <v>2071</v>
      </c>
      <c r="AB23" s="1168">
        <f t="shared" si="14"/>
        <v>615</v>
      </c>
      <c r="AC23" s="1168">
        <f t="shared" si="14"/>
        <v>2686</v>
      </c>
      <c r="AD23" s="1168">
        <f t="shared" si="14"/>
        <v>0</v>
      </c>
      <c r="AE23" s="1172">
        <f t="shared" si="14"/>
        <v>0</v>
      </c>
      <c r="AF23" s="1165">
        <f t="shared" si="14"/>
        <v>0</v>
      </c>
      <c r="AG23" s="1173">
        <f t="shared" si="14"/>
        <v>0</v>
      </c>
      <c r="AH23" s="1170">
        <f t="shared" si="14"/>
        <v>0</v>
      </c>
      <c r="AI23" s="1165">
        <f t="shared" si="14"/>
        <v>1118</v>
      </c>
      <c r="AJ23" s="1167">
        <f t="shared" si="14"/>
        <v>0</v>
      </c>
      <c r="AK23" s="1170">
        <f t="shared" si="14"/>
        <v>0</v>
      </c>
      <c r="AL23" s="1174">
        <f>IF(ISNUMBER(NºAsuntos!G23/NºAsuntos!E23),NºAsuntos!G23/NºAsuntos!E23," - ")</f>
        <v>0.98594321057070566</v>
      </c>
      <c r="AM23" s="1174">
        <f>IF(ISNUMBER(((NºAsuntos!I23/NºAsuntos!G23)*11)/factor_trimestre),((NºAsuntos!I23/NºAsuntos!G23)*11)/factor_trimestre," - ")</f>
        <v>3.2479327060165382</v>
      </c>
      <c r="AN23" s="1175">
        <f>IF(ISNUMBER('Resol  Asuntos'!D23/NºAsuntos!G23),'Resol  Asuntos'!D23/NºAsuntos!G23," - ")</f>
        <v>0.15939549472483605</v>
      </c>
      <c r="AO23" s="1176">
        <f>IF(ISNUMBER((NºAsuntos!C23+NºAsuntos!E23)/NºAsuntos!G23),(NºAsuntos!C23+NºAsuntos!E23)/NºAsuntos!G23," - ")</f>
        <v>1.289848873681209</v>
      </c>
      <c r="AP23" s="1177" t="str">
        <f t="shared" si="2"/>
        <v xml:space="preserve"> - </v>
      </c>
      <c r="AQ23" s="1177">
        <f>IF(ISNUMBER((H23-W23+K23)/(F23)),(H23-W23+K23)/(F23)," - ")</f>
        <v>-3.7628755364806867</v>
      </c>
      <c r="AR23" s="1178">
        <f>IF(ISNUMBER((Datos!P23-Datos!Q23)/(Datos!R23-Datos!P23+Datos!Q23)),(Datos!P23-Datos!Q23)/(Datos!R23-Datos!P23+Datos!Q23)," - ")</f>
        <v>0.26024590163934425</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507</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1</v>
      </c>
      <c r="B28" s="300" t="s">
        <v>508</v>
      </c>
      <c r="C28" s="7" t="str">
        <f>Datos!A28</f>
        <v xml:space="preserve">Jdos. de lo Social                              </v>
      </c>
      <c r="D28" s="7"/>
      <c r="E28" s="290">
        <f>IF(ISNUMBER(Datos!AQ28),Datos!AQ28," - ")</f>
        <v>1</v>
      </c>
      <c r="F28" s="239">
        <f>IF(ISNUMBER(Datos!L28+Datos!K28-Datos!J28-K28),Datos!L28+Datos!K28-Datos!J28-K28," - ")</f>
        <v>100</v>
      </c>
      <c r="G28" s="373">
        <f>IF(ISNUMBER(Datos!I28),Datos!I28," - ")</f>
        <v>90</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125</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f>IF(ISNUMBER(Datos!K28),Datos!K28," - ")</f>
        <v>613</v>
      </c>
      <c r="X28" s="240">
        <f>IF(ISNUMBER(Datos!Q28),Datos!Q28," - ")</f>
        <v>155</v>
      </c>
      <c r="Y28" s="374">
        <f>SUM(W28:X28)</f>
        <v>768</v>
      </c>
      <c r="Z28" s="375" t="str">
        <f>IF(ISNUMBER(Datos!CC28),Datos!CC28," - ")</f>
        <v xml:space="preserve"> - </v>
      </c>
      <c r="AA28" s="372">
        <f>IF(ISNUMBER(Datos!L28),Datos!L28,"-")</f>
        <v>118</v>
      </c>
      <c r="AB28" s="374">
        <f>IF(ISNUMBER(Datos!R28),Datos!R28," - ")</f>
        <v>20</v>
      </c>
      <c r="AC28" s="374">
        <f>IF(ISNUMBER(AA28+AB28),AA28+AB28," - ")</f>
        <v>138</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260</v>
      </c>
      <c r="AJ28" s="245" t="str">
        <f>IF(ISNUMBER(Datos!BW28),Datos!BW28," - ")</f>
        <v xml:space="preserve"> - </v>
      </c>
      <c r="AK28" s="246" t="str">
        <f>IF(ISNUMBER(Datos!BX28),Datos!BX28," - ")</f>
        <v xml:space="preserve"> - </v>
      </c>
      <c r="AL28" s="266">
        <f>IF(ISNUMBER(NºAsuntos!G28/NºAsuntos!E28),NºAsuntos!G28/NºAsuntos!E28," - ")</f>
        <v>0.97147385103011097</v>
      </c>
      <c r="AM28" s="284">
        <f>IF(ISNUMBER(((NºAsuntos!I28/NºAsuntos!G28)*11)/factor_trimestre),((NºAsuntos!I28/NºAsuntos!G28)*11)/factor_trimestre," - ")</f>
        <v>2.1174551386623164</v>
      </c>
      <c r="AN28" s="267">
        <f>IF(ISNUMBER('Resol  Asuntos'!D28/NºAsuntos!G28),'Resol  Asuntos'!D28/NºAsuntos!G28," - ")</f>
        <v>0.42414355628058725</v>
      </c>
      <c r="AO28" s="268">
        <f>IF(ISNUMBER((NºAsuntos!C28+NºAsuntos!E28)/NºAsuntos!G28),(NºAsuntos!C28+NºAsuntos!E28)/NºAsuntos!G28," - ")</f>
        <v>1.1761827079934748</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508</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1</v>
      </c>
      <c r="F30" s="1165">
        <f>SUBTOTAL(9,F28:F29)</f>
        <v>100</v>
      </c>
      <c r="G30" s="1165">
        <f>SUBTOTAL(9,G28:G29)</f>
        <v>90</v>
      </c>
      <c r="H30" s="1165">
        <f>SUBTOTAL(9,H28:H29)</f>
        <v>0</v>
      </c>
      <c r="I30" s="1170">
        <f>SUBTOTAL(9,I28:I29)</f>
        <v>0</v>
      </c>
      <c r="J30" s="1170">
        <f>SUBTOTAL(9,J28:J29)</f>
        <v>0</v>
      </c>
      <c r="K30" s="1170">
        <f>SUBTOTAL(9,K23:K29)</f>
        <v>0</v>
      </c>
      <c r="L30" s="1170">
        <f>SUBTOTAL(9,L28:L29)</f>
        <v>125</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613</v>
      </c>
      <c r="X30" s="1167">
        <f t="shared" si="19"/>
        <v>155</v>
      </c>
      <c r="Y30" s="1168">
        <f t="shared" si="19"/>
        <v>768</v>
      </c>
      <c r="Z30" s="1168">
        <f t="shared" si="19"/>
        <v>0</v>
      </c>
      <c r="AA30" s="1168">
        <f t="shared" si="19"/>
        <v>118</v>
      </c>
      <c r="AB30" s="1168">
        <f t="shared" si="19"/>
        <v>20</v>
      </c>
      <c r="AC30" s="1168">
        <f t="shared" si="19"/>
        <v>138</v>
      </c>
      <c r="AD30" s="1168">
        <f t="shared" si="19"/>
        <v>0</v>
      </c>
      <c r="AE30" s="1172">
        <f t="shared" si="19"/>
        <v>0</v>
      </c>
      <c r="AF30" s="1165">
        <f t="shared" si="19"/>
        <v>0</v>
      </c>
      <c r="AG30" s="1173">
        <f t="shared" si="19"/>
        <v>0</v>
      </c>
      <c r="AH30" s="1170">
        <f t="shared" si="19"/>
        <v>0</v>
      </c>
      <c r="AI30" s="1165">
        <f t="shared" si="19"/>
        <v>260</v>
      </c>
      <c r="AJ30" s="1167">
        <f t="shared" si="19"/>
        <v>0</v>
      </c>
      <c r="AK30" s="1170">
        <f t="shared" si="19"/>
        <v>0</v>
      </c>
      <c r="AL30" s="1174">
        <f>IF(ISNUMBER(NºAsuntos!G30/NºAsuntos!E30),NºAsuntos!G30/NºAsuntos!E30," - ")</f>
        <v>0.97147385103011097</v>
      </c>
      <c r="AM30" s="1174">
        <f>IF(ISNUMBER(((NºAsuntos!I30/NºAsuntos!G30)*11)/factor_trimestre),((NºAsuntos!I30/NºAsuntos!G30)*11)/factor_trimestre," - ")</f>
        <v>2.1174551386623164</v>
      </c>
      <c r="AN30" s="1175">
        <f>IF(ISNUMBER('Resol  Asuntos'!D30/NºAsuntos!G30),'Resol  Asuntos'!D30/NºAsuntos!G30," - ")</f>
        <v>0.42414355628058725</v>
      </c>
      <c r="AO30" s="1176">
        <f>IF(ISNUMBER((NºAsuntos!C30+NºAsuntos!E30)/NºAsuntos!G30),(NºAsuntos!C30+NºAsuntos!E30)/NºAsuntos!G30," - ")</f>
        <v>1.1761827079934748</v>
      </c>
      <c r="AP30" s="1177" t="str">
        <f t="shared" si="2"/>
        <v xml:space="preserve"> - </v>
      </c>
      <c r="AQ30" s="1177">
        <f t="shared" si="18"/>
        <v>-6.13</v>
      </c>
      <c r="AR30" s="1178">
        <f>IF(ISNUMBER((Datos!P30-Datos!Q30)/(Datos!R30-Datos!P30+Datos!Q30)),(Datos!P30-Datos!Q30)/(Datos!R30-Datos!P30+Datos!Q30)," - ")</f>
        <v>-0.6</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15</v>
      </c>
      <c r="F31" s="1120">
        <f t="shared" si="20"/>
        <v>2015</v>
      </c>
      <c r="G31" s="1121">
        <f t="shared" si="20"/>
        <v>2084</v>
      </c>
      <c r="H31" s="1120">
        <f t="shared" si="20"/>
        <v>0</v>
      </c>
      <c r="I31" s="1122">
        <f t="shared" si="20"/>
        <v>0</v>
      </c>
      <c r="J31" s="1122">
        <f t="shared" si="20"/>
        <v>0</v>
      </c>
      <c r="K31" s="1183">
        <f t="shared" si="20"/>
        <v>0</v>
      </c>
      <c r="L31" s="1122">
        <f t="shared" si="20"/>
        <v>1689</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7697</v>
      </c>
      <c r="X31" s="1121">
        <f t="shared" si="21"/>
        <v>1530</v>
      </c>
      <c r="Y31" s="1128">
        <f t="shared" si="21"/>
        <v>9227</v>
      </c>
      <c r="Z31" s="1128">
        <f t="shared" si="21"/>
        <v>0</v>
      </c>
      <c r="AA31" s="1128">
        <f t="shared" si="21"/>
        <v>2247</v>
      </c>
      <c r="AB31" s="1128">
        <f t="shared" si="21"/>
        <v>7279</v>
      </c>
      <c r="AC31" s="1128">
        <f t="shared" si="21"/>
        <v>2898</v>
      </c>
      <c r="AD31" s="1128">
        <f t="shared" si="21"/>
        <v>0</v>
      </c>
      <c r="AE31" s="1130">
        <f t="shared" si="21"/>
        <v>0</v>
      </c>
      <c r="AF31" s="1131">
        <f t="shared" si="21"/>
        <v>0</v>
      </c>
      <c r="AG31" s="1132">
        <f t="shared" si="21"/>
        <v>0</v>
      </c>
      <c r="AH31" s="1130">
        <f t="shared" si="21"/>
        <v>0</v>
      </c>
      <c r="AI31" s="1120">
        <f t="shared" si="21"/>
        <v>2820</v>
      </c>
      <c r="AJ31" s="1120">
        <f t="shared" si="21"/>
        <v>0</v>
      </c>
      <c r="AK31" s="1130">
        <f t="shared" si="21"/>
        <v>0</v>
      </c>
      <c r="AL31" s="1186">
        <f>IF(ISNUMBER(NºAsuntos!G31/NºAsuntos!E31),NºAsuntos!G31/NºAsuntos!E31," - ")</f>
        <v>0.96298523418186677</v>
      </c>
      <c r="AM31" s="1187">
        <f>IF(ISNUMBER(((NºAsuntos!I31/NºAsuntos!G31)*11)/factor_trimestre),((NºAsuntos!I31/NºAsuntos!G31)*11)/factor_trimestre," - ")</f>
        <v>6.2338166932630266</v>
      </c>
      <c r="AN31" s="1187">
        <f>IF(ISNUMBER('Resol  Asuntos'!D31/NºAsuntos!G31),'Resol  Asuntos'!D31/NºAsuntos!G31," - ")</f>
        <v>0.19565669881357109</v>
      </c>
      <c r="AO31" s="1188">
        <f>IF(ISNUMBER((NºAsuntos!C31+NºAsuntos!E31)/NºAsuntos!G31),(NºAsuntos!C31+NºAsuntos!E31)/NºAsuntos!G31," - ")</f>
        <v>1.570040935266773</v>
      </c>
      <c r="AP31" s="1189" t="str">
        <f t="shared" si="2"/>
        <v xml:space="preserve"> - </v>
      </c>
      <c r="AQ31" s="1190">
        <f>IF(OR(ISNUMBER(FIND("01",Criterios!A8,1)),ISNUMBER(FIND("02",Criterios!A8,1)),ISNUMBER(FIND("03",Criterios!A8,1)),ISNUMBER(FIND("04",Criterios!A8,1))),(I31-W31+K31)/(F31-K31),(H31-W31+K31)/(F31-K31))</f>
        <v>-3.8198511166253102</v>
      </c>
      <c r="AR31" s="1191">
        <f>IF(ISNUMBER((Datos!P31-Datos!Q31)/(Datos!R31-Datos!P31+Datos!Q31)),(Datos!P31-Datos!Q31)/(Datos!R31-Datos!P31+Datos!Q31)," - ")</f>
        <v>2.2331460674157304E-2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336</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521</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337</v>
      </c>
      <c r="D33" s="385"/>
      <c r="E33" s="308">
        <f>IF(ISNUMBER(STDEV(E8:E30)),STDEV(E8:E30),"-")</f>
        <v>2.8928223334023779</v>
      </c>
      <c r="F33" s="276">
        <f>IF(ISNUMBER(STDEV(F8:F30)),STDEV(F8:F30),"-")</f>
        <v>880.72559371723241</v>
      </c>
      <c r="G33" s="277">
        <f>IF(ISNUMBER(STDEV(G8:G30)),STDEV(G8:G30),"-")</f>
        <v>845.48278684852176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2920.3205670415218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589.74570791146925</v>
      </c>
      <c r="AJ33" s="276">
        <f t="shared" si="24"/>
        <v>0</v>
      </c>
      <c r="AK33" s="278">
        <f t="shared" si="24"/>
        <v>0</v>
      </c>
      <c r="AL33" s="273">
        <f t="shared" si="24"/>
        <v>4.6410524748321372E-2</v>
      </c>
      <c r="AM33" s="274">
        <f t="shared" si="24"/>
        <v>3.7860645723143262</v>
      </c>
      <c r="AN33" s="274">
        <f t="shared" si="24"/>
        <v>0.13998956948180113</v>
      </c>
      <c r="AO33" s="275">
        <f t="shared" si="24"/>
        <v>0.3813176004458308</v>
      </c>
      <c r="AP33" s="317" t="str">
        <f t="shared" si="24"/>
        <v>-</v>
      </c>
      <c r="AQ33" s="318">
        <f t="shared" si="24"/>
        <v>2.3787349198643164</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540</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334</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335</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OKYUUrqkKRfLsHGImOEowRUacuSYpPZBeP5zRuF4OGpFZZccRmvLzSUeh3HTSf+7r8LkDRMaMMqembradRPX9Q==" saltValue="shQYPpfVIlm4pJoB7Ql4dg=="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PUERTO DEL ROSARIO</v>
      </c>
      <c r="E4" s="287"/>
    </row>
    <row r="5" spans="2:20" ht="12.75" customHeight="1">
      <c r="B5" s="297"/>
      <c r="C5" s="1645" t="str">
        <f>"Año:  " &amp;Criterios!B5 &amp; "          Trimestre   " &amp;Criterios!D5 &amp; " al " &amp;Criterios!D6</f>
        <v>Año:  2021          Trimestre   1 al 4</v>
      </c>
      <c r="D5" s="1633" t="s">
        <v>169</v>
      </c>
      <c r="E5" s="1675" t="s">
        <v>18</v>
      </c>
      <c r="F5" s="1672" t="s">
        <v>14</v>
      </c>
      <c r="G5" s="1669" t="s">
        <v>170</v>
      </c>
      <c r="H5" s="1666" t="s">
        <v>12</v>
      </c>
      <c r="I5" s="1630" t="s">
        <v>161</v>
      </c>
      <c r="J5" s="1659" t="s">
        <v>162</v>
      </c>
      <c r="K5" s="1621" t="s">
        <v>163</v>
      </c>
      <c r="M5" s="175"/>
      <c r="N5" s="183" t="s">
        <v>349</v>
      </c>
      <c r="O5" s="175"/>
      <c r="P5" s="175"/>
      <c r="Q5" s="184" t="s">
        <v>350</v>
      </c>
      <c r="R5" s="184"/>
      <c r="S5" s="182"/>
      <c r="T5" s="182"/>
    </row>
    <row r="6" spans="2:20" ht="12.75" customHeight="1">
      <c r="B6" s="298"/>
      <c r="C6" s="1646"/>
      <c r="D6" s="1634"/>
      <c r="E6" s="1676"/>
      <c r="F6" s="1673"/>
      <c r="G6" s="1670"/>
      <c r="H6" s="1667"/>
      <c r="I6" s="1631"/>
      <c r="J6" s="1660"/>
      <c r="K6" s="1622"/>
      <c r="M6" s="1662" t="s">
        <v>365</v>
      </c>
      <c r="N6" s="1662" t="s">
        <v>346</v>
      </c>
      <c r="O6" s="1662" t="s">
        <v>347</v>
      </c>
      <c r="P6" s="1662" t="s">
        <v>348</v>
      </c>
      <c r="Q6" s="1662" t="s">
        <v>365</v>
      </c>
      <c r="R6" s="1662" t="s">
        <v>346</v>
      </c>
      <c r="S6" s="1662" t="s">
        <v>347</v>
      </c>
      <c r="T6" s="1662" t="s">
        <v>348</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316</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316</v>
      </c>
      <c r="C10" s="7" t="str">
        <f>Datos!A10</f>
        <v>Jdos. Violencia contra la mujer</v>
      </c>
      <c r="D10" s="398">
        <f>IF(ISNUMBER((Datos!I10-Datos!S10)/Datos!S10),(Datos!I10-Datos!S10)/Datos!S10," - ")</f>
        <v>0.60526315789473684</v>
      </c>
      <c r="E10" s="394">
        <f>IF(ISNUMBER((Datos!J10-Datos!T10)/Datos!T10),(Datos!J10-Datos!T10)/Datos!T10," - ")</f>
        <v>-4.9382716049382713E-2</v>
      </c>
      <c r="F10" s="394">
        <f>IF(ISNUMBER((Datos!K10-Datos!U10)/Datos!U10),(Datos!K10-Datos!U10)/Datos!U10," - ")</f>
        <v>0.20689655172413793</v>
      </c>
      <c r="G10" s="395">
        <f>IF(ISNUMBER((Datos!L10-Datos!V10)/Datos!V10),(Datos!L10-Datos!V10)/Datos!V10," - ")</f>
        <v>-4.9180327868852458E-2</v>
      </c>
      <c r="H10" s="244">
        <f>IF(ISNUMBER((Datos!M10-Datos!W10)/Datos!W10),(Datos!M10-Datos!W10)/Datos!W10," - ")</f>
        <v>1.4</v>
      </c>
      <c r="I10" s="396">
        <f>IF(ISNUMBER((Tasas!C10-Datos!BE10)/Datos!BE10),(Tasas!C10-Datos!BE10)/Datos!BE10," - ")</f>
        <v>-0.2121779859484777</v>
      </c>
      <c r="J10" s="395">
        <f>IF(ISNUMBER((Tasas!D10-Datos!BF10)/Datos!BF10),(Tasas!D10-Datos!BF10)/Datos!BF10," - ")</f>
        <v>0.98857142857142821</v>
      </c>
      <c r="K10" s="397">
        <f>IF(ISNUMBER((Tasas!E10-Datos!BG10)/Datos!BG10),(Tasas!E10-Datos!BG10)/Datos!BG10," - ")</f>
        <v>-3.9135654261704733E-2</v>
      </c>
    </row>
    <row r="11" spans="2:20" ht="14.25">
      <c r="B11" s="300" t="s">
        <v>316</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316</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0.35845410628019325</v>
      </c>
      <c r="I12" s="396">
        <f>IF(ISNUMBER((Tasas!C12-Datos!BE12)/Datos!BE12),(Tasas!C12-Datos!BE12)/Datos!BE12," - ")</f>
        <v>-0.27216070600681519</v>
      </c>
      <c r="J12" s="395">
        <f>IF(ISNUMBER((Tasas!D12-Datos!BF12)/Datos!BF12),(Tasas!D12-Datos!BF12)/Datos!BF12," - ")</f>
        <v>-0.30842148303415551</v>
      </c>
      <c r="K12" s="397">
        <f>IF(ISNUMBER((Tasas!E12-Datos!BG12)/Datos!BG12),(Tasas!E12-Datos!BG12)/Datos!BG12," - ")</f>
        <v>-0.14681117675412222</v>
      </c>
      <c r="M12" t="e">
        <f>IF(Monitorios="SI",Datos!CE12,0)</f>
        <v>#REF!</v>
      </c>
      <c r="N12" t="e">
        <f>IF(Monitorios="SI",Datos!CF12,0)</f>
        <v>#REF!</v>
      </c>
      <c r="O12" t="e">
        <f>IF(Monitorios="SI",Datos!CG12,0)</f>
        <v>#REF!</v>
      </c>
      <c r="P12" t="e">
        <f>IF(Monitorios="SI",Datos!CH12,0)</f>
        <v>#REF!</v>
      </c>
      <c r="Q12">
        <f>IF(J_V="SI",0,Datos!AG12)</f>
        <v>105</v>
      </c>
      <c r="R12">
        <f>IF(J_V="SI",0,Datos!AH12)</f>
        <v>376</v>
      </c>
      <c r="S12">
        <f>IF(J_V="SI",0,Datos!AI12)</f>
        <v>337</v>
      </c>
      <c r="T12">
        <f>IF(J_V="SI",0,Datos!AJ12)</f>
        <v>146</v>
      </c>
    </row>
    <row r="13" spans="2:20" ht="15" thickBot="1">
      <c r="B13" s="300" t="s">
        <v>316</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0.37333333333333335</v>
      </c>
      <c r="I14" s="403">
        <f>IF(ISNUMBER((Tasas!C14-Datos!BE14)/Datos!BE14),(Tasas!C14-Datos!BE14)/Datos!BE14," - ")</f>
        <v>-0.27141870223304321</v>
      </c>
      <c r="J14" s="401">
        <f>IF(ISNUMBER((Tasas!D14-Datos!BF14)/Datos!BF14),(Tasas!D14-Datos!BF14)/Datos!BF14," - ")</f>
        <v>-0.29675633694135439</v>
      </c>
      <c r="K14" s="404">
        <f>IF(ISNUMBER((Tasas!E14-Datos!BG14)/Datos!BG14),(Tasas!E14-Datos!BG14)/Datos!BG14," - ")</f>
        <v>-0.14564613887059685</v>
      </c>
      <c r="M14" t="e">
        <f>IF(Monitorios="SI",Datos!CE14,0)</f>
        <v>#REF!</v>
      </c>
      <c r="N14" t="e">
        <f>IF(Monitorios="SI",Datos!CF14,0)</f>
        <v>#REF!</v>
      </c>
      <c r="O14" t="e">
        <f>IF(Monitorios="SI",Datos!CG14,0)</f>
        <v>#REF!</v>
      </c>
      <c r="P14" t="e">
        <f>IF(Monitorios="SI",Datos!CH14,0)</f>
        <v>#REF!</v>
      </c>
      <c r="Q14">
        <f>IF(J_V="SI",0,Datos!AG14)</f>
        <v>105</v>
      </c>
      <c r="R14">
        <f>IF(J_V="SI",0,Datos!AH14)</f>
        <v>376</v>
      </c>
      <c r="S14">
        <f>IF(J_V="SI",0,Datos!AI14)</f>
        <v>337</v>
      </c>
      <c r="T14">
        <f>IF(J_V="SI",0,Datos!AJ14)</f>
        <v>146</v>
      </c>
    </row>
    <row r="15" spans="2:20" ht="15" thickTop="1">
      <c r="B15" s="192"/>
      <c r="C15" s="73" t="str">
        <f>Datos!A15</f>
        <v xml:space="preserve">Jurisdicción Penal ( 2 ):                      </v>
      </c>
      <c r="D15" s="269"/>
      <c r="E15" s="270"/>
      <c r="F15" s="270"/>
      <c r="G15" s="270"/>
      <c r="H15" s="295"/>
      <c r="I15" s="270"/>
      <c r="J15" s="270"/>
      <c r="K15" s="313"/>
    </row>
    <row r="16" spans="2:20" ht="14.25">
      <c r="B16" s="300" t="s">
        <v>506</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506</v>
      </c>
      <c r="C17" s="7" t="str">
        <f>Datos!A17</f>
        <v xml:space="preserve">Jdos. 1ª Instª. e Instr.                        </v>
      </c>
      <c r="D17" s="398">
        <f>IF(ISNUMBER(
   IF(D_I="SI",(Datos!I17-Datos!S17)/Datos!S17,(Datos!I17+Datos!AC17-(Datos!S17+Datos!AK17))/(Datos!S17+Datos!AK17))
     ),IF(D_I="SI",(Datos!I17-Datos!S17)/Datos!S17,(Datos!I17+Datos!AC17-(Datos!S17+Datos!AK17))/(Datos!S17+Datos!AK17))," - ")</f>
        <v>0.35635562086700956</v>
      </c>
      <c r="E17" s="394">
        <f>IF(ISNUMBER(
   IF(D_I="SI",(Datos!J17-Datos!T17)/Datos!T17,(Datos!J17+Datos!AD17-(Datos!T17+Datos!AL17))/(Datos!T17+Datos!AL17))
     ),IF(D_I="SI",(Datos!J17-Datos!T17)/Datos!T17,(Datos!J17+Datos!AD17-(Datos!T17+Datos!AL17))/(Datos!T17+Datos!AL17))," - ")</f>
        <v>-0.10315226569096538</v>
      </c>
      <c r="F17" s="394">
        <f>IF(ISNUMBER(
   IF(D_I="SI",(Datos!K17-Datos!U17)/Datos!U17,(Datos!K17+Datos!AE17-(Datos!U17+Datos!AM17))/(Datos!U17+Datos!AM17))
     ),IF(D_I="SI",(Datos!K17-Datos!U17)/Datos!U17,(Datos!K17+Datos!AE17-(Datos!U17+Datos!AM17))/(Datos!U17+Datos!AM17))," - ")</f>
        <v>-6.0528301886792452E-2</v>
      </c>
      <c r="G17" s="395">
        <f>IF(ISNUMBER(
   IF(D_I="SI",(Datos!L17-Datos!V17)/Datos!V17,(Datos!L17+Datos!AF17-(Datos!V17+Datos!AN17))/(Datos!V17+Datos!AN17))
     ),IF(D_I="SI",(Datos!L17-Datos!V17)/Datos!V17,(Datos!L17+Datos!AF17-(Datos!V17+Datos!AN17))/(Datos!V17+Datos!AN17))," - ")</f>
        <v>9.0465872156012997E-2</v>
      </c>
      <c r="H17" s="244">
        <f>IF(ISNUMBER((Datos!M17-Datos!W17)/Datos!W17),(Datos!M17-Datos!W17)/Datos!W17," - ")</f>
        <v>0.12315270935960591</v>
      </c>
      <c r="I17" s="396">
        <f>IF(ISNUMBER((Tasas!C17-Datos!BE17)/Datos!BE17),(Tasas!C17-Datos!BE17)/Datos!BE17," - ")</f>
        <v>0.16072242979331405</v>
      </c>
      <c r="J17" s="395">
        <f>IF(ISNUMBER((Tasas!D17-Datos!BF17)/Datos!BF17),(Tasas!D17-Datos!BF17)/Datos!BF17," - ")</f>
        <v>0.19551521521648293</v>
      </c>
      <c r="K17" s="397">
        <f>IF(ISNUMBER((Tasas!E17-Datos!BG17)/Datos!BG17),(Tasas!E17-Datos!BG17)/Datos!BG17," - ")</f>
        <v>3.3250726470801531E-2</v>
      </c>
    </row>
    <row r="18" spans="2:20" ht="14.25">
      <c r="B18" s="300" t="s">
        <v>506</v>
      </c>
      <c r="C18" s="7" t="str">
        <f>Datos!A18</f>
        <v>Jdos. Violencia contra la mujer</v>
      </c>
      <c r="D18" s="398">
        <f>IF(ISNUMBER(
   IF(D_I="SI",(Datos!I18-Datos!S18)/Datos!S18,(Datos!I18+Datos!AC18-(Datos!S18+Datos!AK18))/(Datos!S18+Datos!AK18))
     ),IF(D_I="SI",(Datos!I18-Datos!S18)/Datos!S18,(Datos!I18+Datos!AC18-(Datos!S18+Datos!AK18))/(Datos!S18+Datos!AK18))," - ")</f>
        <v>0.47457627118644069</v>
      </c>
      <c r="E18" s="394">
        <f>IF(ISNUMBER(
   IF(D_I="SI",(Datos!J18-Datos!T18)/Datos!T18,(Datos!J18+Datos!AD18-(Datos!T18+Datos!AL18))/(Datos!T18+Datos!AL18))
     ),IF(D_I="SI",(Datos!J18-Datos!T18)/Datos!T18,(Datos!J18+Datos!AD18-(Datos!T18+Datos!AL18))/(Datos!T18+Datos!AL18))," - ")</f>
        <v>2.6315789473684209E-2</v>
      </c>
      <c r="F18" s="394">
        <f>IF(ISNUMBER(
   IF(D_I="SI",(Datos!K18-Datos!U18)/Datos!U18,(Datos!K18+Datos!AE18-(Datos!U18+Datos!AM18))/(Datos!U18+Datos!AM18))
     ),IF(D_I="SI",(Datos!K18-Datos!U18)/Datos!U18,(Datos!K18+Datos!AE18-(Datos!U18+Datos!AM18))/(Datos!U18+Datos!AM18))," - ")</f>
        <v>0.1173974540311174</v>
      </c>
      <c r="G18" s="395">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0.43055555555555558</v>
      </c>
      <c r="I18" s="396">
        <f>IF(ISNUMBER((Tasas!C18-Datos!BE18)/Datos!BE18),(Tasas!C18-Datos!BE18)/Datos!BE18," - ")</f>
        <v>-0.40337552742616034</v>
      </c>
      <c r="J18" s="395">
        <f>IF(ISNUMBER((Tasas!D18-Datos!BF18)/Datos!BF18),(Tasas!D18-Datos!BF18)/Datos!BF18," - ")</f>
        <v>0.28025668073136423</v>
      </c>
      <c r="K18" s="397">
        <f>IF(ISNUMBER((Tasas!E18-Datos!BG18)/Datos!BG18),(Tasas!E18-Datos!BG18)/Datos!BG18," - ")</f>
        <v>-5.1206664613689057E-2</v>
      </c>
    </row>
    <row r="19" spans="2:20" ht="14.25">
      <c r="B19" s="300" t="s">
        <v>506</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506</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506</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506</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0.36126760563380284</v>
      </c>
      <c r="E23" s="400">
        <f>IF(ISNUMBER(
   IF(D_I="SI",(Datos!J23-Datos!T23)/Datos!T23,(Datos!J23+Datos!AD23-(Datos!T23+Datos!AL23))/(Datos!T23+Datos!AL23))
     ),IF(D_I="SI",(Datos!J23-Datos!T23)/Datos!T23,(Datos!J23+Datos!AD23-(Datos!T23+Datos!AL23))/(Datos!T23+Datos!AL23))," - ")</f>
        <v>-9.1211037301992842E-2</v>
      </c>
      <c r="F23" s="400">
        <f>IF(ISNUMBER(
   IF(D_I="SI",(Datos!K23-Datos!U23)/Datos!U23,(Datos!K23+Datos!AE23-(Datos!U23+Datos!AM23))/(Datos!U23+Datos!AM23))
     ),IF(D_I="SI",(Datos!K23-Datos!U23)/Datos!U23,(Datos!K23+Datos!AE23-(Datos!U23+Datos!AM23))/(Datos!U23+Datos!AM23))," - ")</f>
        <v>-4.3371522094926347E-2</v>
      </c>
      <c r="G23" s="401">
        <f>IF(ISNUMBER(
   IF(D_I="SI",(Datos!L23-Datos!V23)/Datos!V23,(Datos!L23+Datos!AF23-(Datos!V23+Datos!AN23))/(Datos!V23+Datos!AN23))
     ),IF(D_I="SI",(Datos!L23-Datos!V23)/Datos!V23,(Datos!L23+Datos!AF23-(Datos!V23+Datos!AN23))/(Datos!V23+Datos!AN23))," - ")</f>
        <v>7.1391619244697363E-2</v>
      </c>
      <c r="H23" s="402">
        <f>IF(ISNUMBER((Datos!M23-Datos!W23)/Datos!W23),(Datos!M23-Datos!W23)/Datos!W23," - ")</f>
        <v>0.16945606694560669</v>
      </c>
      <c r="I23" s="403">
        <f>IF(ISNUMBER((Tasas!C23-Datos!BE23)/Datos!BE23),(Tasas!C23-Datos!BE23)/Datos!BE23," - ")</f>
        <v>0.11996626066468788</v>
      </c>
      <c r="J23" s="401">
        <f>IF(ISNUMBER((Tasas!D23-Datos!BF23)/Datos!BF23),(Tasas!D23-Datos!BF23)/Datos!BF23," - ")</f>
        <v>0.2224767440611902</v>
      </c>
      <c r="K23" s="404">
        <f>IF(ISNUMBER((Tasas!E23-Datos!BG23)/Datos!BG23),(Tasas!E23-Datos!BG23)/Datos!BG23," - ")</f>
        <v>2.261807329483399E-2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507</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508</v>
      </c>
      <c r="C28" s="7" t="str">
        <f>Datos!A28</f>
        <v xml:space="preserve">Jdos. de lo Social                              </v>
      </c>
      <c r="D28" s="398">
        <f>IF(ISNUMBER((Datos!I28-Datos!S28)/Datos!S28),(Datos!I28-Datos!S28)/Datos!S28," - ")</f>
        <v>-0.37931034482758619</v>
      </c>
      <c r="E28" s="394">
        <f>IF(ISNUMBER((Datos!J28-Datos!T28)/Datos!T28),(Datos!J28-Datos!T28)/Datos!T28," - ")</f>
        <v>7.9872204472843447E-3</v>
      </c>
      <c r="F28" s="394">
        <f>IF(ISNUMBER((Datos!K28-Datos!U28)/Datos!U28),(Datos!K28-Datos!U28)/Datos!U28," - ")</f>
        <v>-4.2187500000000003E-2</v>
      </c>
      <c r="G28" s="395">
        <f>IF(ISNUMBER((Datos!L28-Datos!V28)/Datos!V28),(Datos!L28-Datos!V28)/Datos!V28," - ")</f>
        <v>0.31111111111111112</v>
      </c>
      <c r="H28" s="244">
        <f>IF(ISNUMBER((Datos!M28-Datos!W28)/Datos!W28),(Datos!M28-Datos!W28)/Datos!W28," - ")</f>
        <v>3.5856573705179286E-2</v>
      </c>
      <c r="I28" s="396">
        <f>IF(ISNUMBER((Tasas!C28-Datos!BE28)/Datos!BE28),(Tasas!C28-Datos!BE28)/Datos!BE28," - ")</f>
        <v>0.36885988762008343</v>
      </c>
      <c r="J28" s="395">
        <f>IF(ISNUMBER((Tasas!D28-Datos!BF28)/Datos!BF28),(Tasas!D28-Datos!BF28)/Datos!BF28," - ")</f>
        <v>8.1481577767234373E-2</v>
      </c>
      <c r="K28" s="397">
        <f>IF(ISNUMBER((Tasas!E28-Datos!BG28)/Datos!BG28),(Tasas!E28-Datos!BG28)/Datos!BG28," - ")</f>
        <v>-2.3661565349125908E-2</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508</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f>IF(ISNUMBER((Datos!I30-Datos!S30)/Datos!S30),(Datos!I30-Datos!S30)/Datos!S30," - ")</f>
        <v>-0.37931034482758619</v>
      </c>
      <c r="E30" s="1112">
        <f>IF(ISNUMBER((Datos!J30-Datos!T30)/Datos!T30),(Datos!J30-Datos!T30)/Datos!T30," - ")</f>
        <v>7.9872204472843447E-3</v>
      </c>
      <c r="F30" s="1112">
        <f>IF(ISNUMBER((Datos!K30-Datos!U30)/Datos!U30),(Datos!K30-Datos!U30)/Datos!U30," - ")</f>
        <v>-4.2187500000000003E-2</v>
      </c>
      <c r="G30" s="1113">
        <f>IF(ISNUMBER((Datos!L30-Datos!V30)/Datos!V30),(Datos!L30-Datos!V30)/Datos!V30," - ")</f>
        <v>0.31111111111111112</v>
      </c>
      <c r="H30" s="1114">
        <f>IF(ISNUMBER((Datos!M30-Datos!W30)/Datos!W30),(Datos!M30-Datos!W30)/Datos!W30," - ")</f>
        <v>3.5856573705179286E-2</v>
      </c>
      <c r="I30" s="1115">
        <f>IF(ISNUMBER((Tasas!C30-Datos!BE30)/Datos!BE30),(Tasas!C30-Datos!BE30)/Datos!BE30," - ")</f>
        <v>0.36885988762008343</v>
      </c>
      <c r="J30" s="1113">
        <f>IF(ISNUMBER((Tasas!D30-Datos!BF30)/Datos!BF30),(Tasas!D30-Datos!BF30)/Datos!BF30," - ")</f>
        <v>8.1481577767234373E-2</v>
      </c>
      <c r="K30" s="1116">
        <f>IF(ISNUMBER((Tasas!E30-Datos!BG30)/Datos!BG30),(Tasas!E30-Datos!BG30)/Datos!BG30," - ")</f>
        <v>-2.3661565349125908E-2</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0.30106979113601628</v>
      </c>
      <c r="E31" s="410">
        <f>IF(ISNUMBER(
   IF(J_V="SI",(Datos!J31-Datos!T31)/Datos!T31,(Datos!J31+Datos!Z31-(Datos!T31+Datos!AH31))/(Datos!T31+Datos!AH31))
     ),IF(J_V="SI",(Datos!J31-Datos!T31)/Datos!T31,(Datos!J31+Datos!Z31-(Datos!T31+Datos!AH31))/(Datos!T31+Datos!AH31))," - ")</f>
        <v>3.4061075031090231E-2</v>
      </c>
      <c r="F31" s="410">
        <f>IF(ISNUMBER(
   IF(J_V="SI",(Datos!K31-Datos!U31)/Datos!U31,(Datos!K31+Datos!AA31-(Datos!U31+Datos!AI31))/(Datos!U31+Datos!AI31))
     ),IF(J_V="SI",(Datos!K31-Datos!U31)/Datos!U31,(Datos!K31+Datos!AA31-(Datos!U31+Datos!AI31))/(Datos!U31+Datos!AI31))," - ")</f>
        <v>0.14072022160664821</v>
      </c>
      <c r="G31" s="411">
        <f>IF(ISNUMBER(
   IF(J_V="SI",(Datos!L31-Datos!V31)/Datos!V31,(Datos!L31+Datos!AB31-(Datos!V31+Datos!AJ31))/(Datos!V31+Datos!AJ31))
     ),IF(J_V="SI",(Datos!L31-Datos!V31)/Datos!V31,(Datos!L31+Datos!AB31-(Datos!V31+Datos!AJ31))/(Datos!V31+Datos!AJ31))," - ")</f>
        <v>6.6040198381623602E-2</v>
      </c>
      <c r="H31" s="412">
        <f>IF(ISNUMBER((Datos!M31-Datos!W31)/Datos!W31),(Datos!M31-Datos!W31)/Datos!W31," - ")</f>
        <v>0.24944616747895437</v>
      </c>
      <c r="I31" s="409">
        <f>IF(ISNUMBER((Tasas!C31-Datos!BE31)/Datos!BE31),(Tasas!C31-Datos!BE31)/Datos!BE31," - ")</f>
        <v>-6.546743172470576E-2</v>
      </c>
      <c r="J31" s="410">
        <f>IF(ISNUMBER((Tasas!D31-Datos!BF31)/Datos!BF31),(Tasas!D31-Datos!BF31)/Datos!BF31," - ")</f>
        <v>-5.4999086578948517E-2</v>
      </c>
      <c r="K31" s="411">
        <f>IF(ISNUMBER((Tasas!E31-Datos!BG31)/Datos!BG31),(Tasas!E31-Datos!BG31)/Datos!BG31," - ")</f>
        <v>-2.5808219953068003E-2</v>
      </c>
    </row>
    <row r="32" spans="2:20" ht="15.75" customHeight="1" thickTop="1" thickBot="1">
      <c r="B32" s="180"/>
      <c r="C32" s="1105" t="s">
        <v>336</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337</v>
      </c>
      <c r="D33" s="302">
        <f t="shared" ref="D33:K33" si="1">IF(ISNUMBER( STDEV(D8:D30)),STDEV(D8:D30)," - ")</f>
        <v>0.43748302273493772</v>
      </c>
      <c r="E33" s="303">
        <f t="shared" si="1"/>
        <v>5.5595927150861514E-2</v>
      </c>
      <c r="F33" s="303">
        <f t="shared" si="1"/>
        <v>0.11190097729442121</v>
      </c>
      <c r="G33" s="304">
        <f t="shared" si="1"/>
        <v>0.2422870271342828</v>
      </c>
      <c r="H33" s="310">
        <f t="shared" si="1"/>
        <v>0.44545764642041902</v>
      </c>
      <c r="I33" s="302">
        <f t="shared" si="1"/>
        <v>0.30829816055903703</v>
      </c>
      <c r="J33" s="303">
        <f t="shared" si="1"/>
        <v>0.40468253532025633</v>
      </c>
      <c r="K33" s="304">
        <f t="shared" si="1"/>
        <v>6.7769267047278023E-2</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334</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335</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6mORoNsUk6gxBpCPEEcI8Cw/DnvIcEkniimeLug5leStoH+Y87P8FI+si9CUO+Ew+4k836ZEkstJo8RTdUm6Q==" saltValue="AxPz6bboETJWaB+ZUHO6C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2022-04-05T09:54:10Z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